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1018435030\Desktop\"/>
    </mc:Choice>
  </mc:AlternateContent>
  <xr:revisionPtr revIDLastSave="0" documentId="13_ncr:1_{9B65D255-07E4-4D88-8B47-CC1B0C8A4DF5}" xr6:coauthVersionLast="47" xr6:coauthVersionMax="47" xr10:uidLastSave="{00000000-0000-0000-0000-000000000000}"/>
  <bookViews>
    <workbookView xWindow="30" yWindow="30" windowWidth="28770" windowHeight="15570" tabRatio="901" firstSheet="4" activeTab="4" xr2:uid="{00000000-000D-0000-FFFF-FFFF00000000}"/>
  </bookViews>
  <sheets>
    <sheet name="INDICE" sheetId="18510" state="hidden" r:id="rId1"/>
    <sheet name="1" sheetId="5" state="hidden" r:id="rId2"/>
    <sheet name="2" sheetId="18492" state="hidden" r:id="rId3"/>
    <sheet name="3" sheetId="18501" state="hidden" r:id="rId4"/>
    <sheet name="Boletin Financiero" sheetId="18526" r:id="rId5"/>
    <sheet name="Menu Principal" sheetId="18528" r:id="rId6"/>
    <sheet name="Instructivo y Glosario" sheetId="18527" r:id="rId7"/>
    <sheet name="Base" sheetId="18521" state="hidden" r:id="rId8"/>
    <sheet name="Graficos" sheetId="18525" state="hidden" r:id="rId9"/>
    <sheet name="Empresas Regulares Nacionales" sheetId="1" r:id="rId10"/>
    <sheet name="Empresas Carga Nacional" sheetId="18522" r:id="rId11"/>
    <sheet name="Empresas Regular Internacional" sheetId="18523" r:id="rId12"/>
    <sheet name="Empresas Carga Internacional" sheetId="18524" r:id="rId13"/>
    <sheet name="Empresas de Aerotaxis" sheetId="18517" r:id="rId14"/>
    <sheet name="Empresas Especiales de Carga" sheetId="18520" r:id="rId15"/>
    <sheet name="Empresas Trab. Aer. Especiales" sheetId="18518" r:id="rId16"/>
    <sheet name="Empresas de Talleres" sheetId="18516" r:id="rId17"/>
    <sheet name="Empresas de Handling" sheetId="18519" r:id="rId18"/>
    <sheet name="Empresas Centros de Instrucción" sheetId="18514" r:id="rId19"/>
    <sheet name="6" sheetId="18511" state="hidden" r:id="rId20"/>
    <sheet name="7" sheetId="18512" state="hidden" r:id="rId21"/>
    <sheet name="8" sheetId="3" state="hidden" r:id="rId22"/>
    <sheet name="9" sheetId="18505" state="hidden" r:id="rId23"/>
  </sheets>
  <definedNames>
    <definedName name="_xlnm._FilterDatabase" localSheetId="22" hidden="1">'9'!$A$5:$CC$26</definedName>
    <definedName name="_xlnm.Print_Area" localSheetId="1">'1'!#REF!</definedName>
    <definedName name="_xlnm.Print_Area" localSheetId="2">'2'!$A$1:$G$37</definedName>
    <definedName name="_xlnm.Print_Area" localSheetId="3">'3'!$A$1:$G$26</definedName>
    <definedName name="_xlnm.Print_Area" localSheetId="21">'8'!$B$6:$BG$33</definedName>
    <definedName name="_xlnm.Print_Area" localSheetId="22">'9'!#REF!</definedName>
    <definedName name="_xlnm.Print_Area" localSheetId="7">Base!$A$1:$A$58</definedName>
    <definedName name="_xlnm.Print_Area" localSheetId="12">'Empresas Carga Internacional'!$A$1:$A$58</definedName>
    <definedName name="_xlnm.Print_Area" localSheetId="10">'Empresas Carga Nacional'!$A$1:$A$58</definedName>
    <definedName name="_xlnm.Print_Area" localSheetId="18">'Empresas Centros de Instrucción'!$A$1:$A$59</definedName>
    <definedName name="_xlnm.Print_Area" localSheetId="13">'Empresas de Aerotaxis'!$A$1:$A$59</definedName>
    <definedName name="_xlnm.Print_Area" localSheetId="17">'Empresas de Handling'!$A$1:$A$59</definedName>
    <definedName name="_xlnm.Print_Area" localSheetId="16">'Empresas de Talleres'!$A$1:$A$59</definedName>
    <definedName name="_xlnm.Print_Area" localSheetId="14">'Empresas Especiales de Carga'!$A$1:$A$59</definedName>
    <definedName name="_xlnm.Print_Area" localSheetId="11">'Empresas Regular Internacional'!$A$1:$A$58</definedName>
    <definedName name="_xlnm.Print_Area" localSheetId="9">'Empresas Regulares Nacionales'!$A$1:$A$58</definedName>
    <definedName name="_xlnm.Print_Area" localSheetId="15">'Empresas Trab. Aer. Especiales'!$A$1:$A$60</definedName>
    <definedName name="_xlnm.Print_Area" localSheetId="6">'Instructivo y Glosario'!$A$1:$A$43</definedName>
    <definedName name="_xlnm.Print_Titles" localSheetId="1">'1'!$1:$6</definedName>
    <definedName name="_xlnm.Print_Titles" localSheetId="2">'2'!$A:$A,'2'!$1:$5</definedName>
    <definedName name="_xlnm.Print_Titles" localSheetId="3">'3'!$A:$A,'3'!$1:$5</definedName>
    <definedName name="_xlnm.Print_Titles" localSheetId="21">'8'!$A:$A,'8'!$1:$5</definedName>
    <definedName name="_xlnm.Print_Titles" localSheetId="22">'9'!$A:$A,'9'!$1:$4</definedName>
    <definedName name="_xlnm.Print_Titles" localSheetId="7">Base!$A:$A,Base!$1:$3</definedName>
    <definedName name="_xlnm.Print_Titles" localSheetId="12">'Empresas Carga Internacional'!$A:$A,'Empresas Carga Internacional'!$1:$3</definedName>
    <definedName name="_xlnm.Print_Titles" localSheetId="10">'Empresas Carga Nacional'!$A:$A,'Empresas Carga Nacional'!$1:$3</definedName>
    <definedName name="_xlnm.Print_Titles" localSheetId="18">'Empresas Centros de Instrucción'!$A:$A,'Empresas Centros de Instrucción'!$1:$3</definedName>
    <definedName name="_xlnm.Print_Titles" localSheetId="13">'Empresas de Aerotaxis'!$A:$A,'Empresas de Aerotaxis'!$1:$3</definedName>
    <definedName name="_xlnm.Print_Titles" localSheetId="17">'Empresas de Handling'!$A:$A,'Empresas de Handling'!$1:$3</definedName>
    <definedName name="_xlnm.Print_Titles" localSheetId="16">'Empresas de Talleres'!$A:$A,'Empresas de Talleres'!$1:$3</definedName>
    <definedName name="_xlnm.Print_Titles" localSheetId="14">'Empresas Especiales de Carga'!$A:$A,'Empresas Especiales de Carga'!$1:$3</definedName>
    <definedName name="_xlnm.Print_Titles" localSheetId="11">'Empresas Regular Internacional'!$A:$A,'Empresas Regular Internacional'!$1:$3</definedName>
    <definedName name="_xlnm.Print_Titles" localSheetId="9">'Empresas Regulares Nacionales'!$A:$A,'Empresas Regulares Nacionales'!$1:$3</definedName>
    <definedName name="_xlnm.Print_Titles" localSheetId="15">'Empresas Trab. Aer. Especiales'!$A:$A,'Empresas Trab. Aer. Especiales'!$1:$3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V10" i="18517" l="1"/>
  <c r="BK47" i="18518" l="1"/>
  <c r="BJ47" i="18518"/>
  <c r="BK45" i="18518"/>
  <c r="BJ45" i="18518"/>
  <c r="BK43" i="18518"/>
  <c r="BJ43" i="18518"/>
  <c r="BK42" i="18518"/>
  <c r="BJ42" i="18518"/>
  <c r="BK40" i="18518"/>
  <c r="BJ40" i="18518"/>
  <c r="BK39" i="18518"/>
  <c r="BJ39" i="18518"/>
  <c r="BK38" i="18518"/>
  <c r="BJ38" i="18518"/>
  <c r="BK32" i="18518"/>
  <c r="BJ32" i="18518"/>
  <c r="BK31" i="18518"/>
  <c r="BJ31" i="18518"/>
  <c r="BK30" i="18518"/>
  <c r="BJ30" i="18518"/>
  <c r="BK29" i="18518"/>
  <c r="BJ29" i="18518"/>
  <c r="BK28" i="18518"/>
  <c r="BJ28" i="18518"/>
  <c r="BK27" i="18518"/>
  <c r="BJ27" i="18518"/>
  <c r="BK26" i="18518"/>
  <c r="BJ26" i="18518"/>
  <c r="BK25" i="18518"/>
  <c r="BJ25" i="18518"/>
  <c r="BK24" i="18518"/>
  <c r="BJ24" i="18518"/>
  <c r="BK23" i="18518"/>
  <c r="BJ23" i="18518"/>
  <c r="BK22" i="18518"/>
  <c r="BJ22" i="18518"/>
  <c r="BK21" i="18518"/>
  <c r="BJ21" i="18518"/>
  <c r="BK20" i="18518"/>
  <c r="BJ20" i="18518"/>
  <c r="BK19" i="18518"/>
  <c r="BJ19" i="18518"/>
  <c r="BK18" i="18518"/>
  <c r="BJ18" i="18518"/>
  <c r="BK15" i="18518"/>
  <c r="BJ15" i="18518"/>
  <c r="BK14" i="18518"/>
  <c r="BJ14" i="18518"/>
  <c r="BK11" i="18518"/>
  <c r="BJ11" i="18518"/>
  <c r="BK10" i="18518"/>
  <c r="BJ10" i="18518"/>
  <c r="BW46" i="18516"/>
  <c r="BV46" i="18516"/>
  <c r="BW44" i="18516"/>
  <c r="BV44" i="18516"/>
  <c r="BW42" i="18516"/>
  <c r="BV42" i="18516"/>
  <c r="BW41" i="18516"/>
  <c r="BV41" i="18516"/>
  <c r="BW39" i="18516"/>
  <c r="BV39" i="18516"/>
  <c r="BW38" i="18516"/>
  <c r="BV38" i="18516"/>
  <c r="BW37" i="18516"/>
  <c r="BV37" i="18516"/>
  <c r="BW31" i="18516"/>
  <c r="BV31" i="18516"/>
  <c r="BW30" i="18516"/>
  <c r="BV30" i="18516"/>
  <c r="BW29" i="18516"/>
  <c r="BV29" i="18516"/>
  <c r="BW28" i="18516"/>
  <c r="BV28" i="18516"/>
  <c r="BW27" i="18516"/>
  <c r="BV27" i="18516"/>
  <c r="BW26" i="18516"/>
  <c r="BV26" i="18516"/>
  <c r="BW25" i="18516"/>
  <c r="BV25" i="18516"/>
  <c r="BW24" i="18516"/>
  <c r="BV24" i="18516"/>
  <c r="BW23" i="18516"/>
  <c r="BV23" i="18516"/>
  <c r="BW22" i="18516"/>
  <c r="BV22" i="18516"/>
  <c r="BW21" i="18516"/>
  <c r="BV21" i="18516"/>
  <c r="BW20" i="18516"/>
  <c r="BV20" i="18516"/>
  <c r="BW19" i="18516"/>
  <c r="BV19" i="18516"/>
  <c r="BW18" i="18516"/>
  <c r="BV18" i="18516"/>
  <c r="BW15" i="18516"/>
  <c r="BV15" i="18516"/>
  <c r="BW14" i="18516"/>
  <c r="BV14" i="18516"/>
  <c r="BW11" i="18516"/>
  <c r="BV11" i="18516"/>
  <c r="BW10" i="18516"/>
  <c r="BV10" i="18516"/>
  <c r="AE76" i="18524"/>
  <c r="AE74" i="18524"/>
  <c r="AE73" i="18524"/>
  <c r="AE71" i="18524"/>
  <c r="AE69" i="18524"/>
  <c r="AE68" i="18524"/>
  <c r="AE66" i="18524"/>
  <c r="AE65" i="18524"/>
  <c r="AE63" i="18524"/>
  <c r="AE62" i="18524"/>
  <c r="AE61" i="18524"/>
  <c r="AE60" i="18524"/>
  <c r="AE58" i="18524"/>
  <c r="AB76" i="18524"/>
  <c r="AB74" i="18524"/>
  <c r="AB73" i="18524"/>
  <c r="AB71" i="18524"/>
  <c r="AB69" i="18524"/>
  <c r="AB68" i="18524"/>
  <c r="AB66" i="18524"/>
  <c r="AB65" i="18524"/>
  <c r="AB63" i="18524"/>
  <c r="AB62" i="18524"/>
  <c r="AB61" i="18524"/>
  <c r="AB60" i="18524"/>
  <c r="AB58" i="18524"/>
  <c r="V76" i="18524"/>
  <c r="V74" i="18524"/>
  <c r="V73" i="18524"/>
  <c r="V71" i="18524"/>
  <c r="V69" i="18524"/>
  <c r="V68" i="18524"/>
  <c r="V66" i="18524"/>
  <c r="V65" i="18524"/>
  <c r="V63" i="18524"/>
  <c r="V62" i="18524"/>
  <c r="V61" i="18524"/>
  <c r="V60" i="18524"/>
  <c r="V58" i="18524"/>
  <c r="S76" i="18524"/>
  <c r="S74" i="18524"/>
  <c r="S73" i="18524"/>
  <c r="S71" i="18524"/>
  <c r="S69" i="18524"/>
  <c r="S68" i="18524"/>
  <c r="S66" i="18524"/>
  <c r="S65" i="18524"/>
  <c r="S63" i="18524"/>
  <c r="S62" i="18524"/>
  <c r="S61" i="18524"/>
  <c r="S60" i="18524"/>
  <c r="S58" i="18524"/>
  <c r="P76" i="18524"/>
  <c r="P74" i="18524"/>
  <c r="P73" i="18524"/>
  <c r="P71" i="18524"/>
  <c r="P69" i="18524"/>
  <c r="P68" i="18524"/>
  <c r="P66" i="18524"/>
  <c r="P65" i="18524"/>
  <c r="P63" i="18524"/>
  <c r="P62" i="18524"/>
  <c r="P61" i="18524"/>
  <c r="P60" i="18524"/>
  <c r="P58" i="18524"/>
  <c r="J76" i="18524"/>
  <c r="J74" i="18524"/>
  <c r="J73" i="18524"/>
  <c r="J71" i="18524"/>
  <c r="J69" i="18524"/>
  <c r="J68" i="18524"/>
  <c r="J66" i="18524"/>
  <c r="J65" i="18524"/>
  <c r="J63" i="18524"/>
  <c r="J62" i="18524"/>
  <c r="J61" i="18524"/>
  <c r="J60" i="18524"/>
  <c r="J58" i="18524"/>
  <c r="G76" i="18524"/>
  <c r="G74" i="18524"/>
  <c r="G73" i="18524"/>
  <c r="G71" i="18524"/>
  <c r="G69" i="18524"/>
  <c r="G68" i="18524"/>
  <c r="G66" i="18524"/>
  <c r="G65" i="18524"/>
  <c r="G63" i="18524"/>
  <c r="G62" i="18524"/>
  <c r="G61" i="18524"/>
  <c r="G60" i="18524"/>
  <c r="G58" i="18524"/>
  <c r="D76" i="18524"/>
  <c r="D74" i="18524"/>
  <c r="D73" i="18524"/>
  <c r="D71" i="18524"/>
  <c r="D69" i="18524"/>
  <c r="D68" i="18524"/>
  <c r="D66" i="18524"/>
  <c r="D65" i="18524"/>
  <c r="D63" i="18524"/>
  <c r="D62" i="18524"/>
  <c r="D61" i="18524"/>
  <c r="D60" i="18524"/>
  <c r="D58" i="18524"/>
  <c r="CG76" i="18523"/>
  <c r="CG74" i="18523"/>
  <c r="CG73" i="18523"/>
  <c r="CG71" i="18523"/>
  <c r="CG69" i="18523"/>
  <c r="CG68" i="18523"/>
  <c r="CG66" i="18523"/>
  <c r="CG65" i="18523"/>
  <c r="CG63" i="18523"/>
  <c r="CG62" i="18523"/>
  <c r="CG61" i="18523"/>
  <c r="CG60" i="18523"/>
  <c r="CG58" i="18523"/>
  <c r="CD76" i="18523"/>
  <c r="CD74" i="18523"/>
  <c r="CD73" i="18523"/>
  <c r="CD71" i="18523"/>
  <c r="CD69" i="18523"/>
  <c r="CD68" i="18523"/>
  <c r="CD66" i="18523"/>
  <c r="CD65" i="18523"/>
  <c r="CD63" i="18523"/>
  <c r="CD62" i="18523"/>
  <c r="CD61" i="18523"/>
  <c r="CD60" i="18523"/>
  <c r="CD58" i="18523"/>
  <c r="CA76" i="18523"/>
  <c r="CA74" i="18523"/>
  <c r="CA73" i="18523"/>
  <c r="CA71" i="18523"/>
  <c r="CA69" i="18523"/>
  <c r="CA68" i="18523"/>
  <c r="CA66" i="18523"/>
  <c r="CA65" i="18523"/>
  <c r="CA63" i="18523"/>
  <c r="CA62" i="18523"/>
  <c r="CA61" i="18523"/>
  <c r="CA60" i="18523"/>
  <c r="CA58" i="18523"/>
  <c r="BX76" i="18523"/>
  <c r="BX74" i="18523"/>
  <c r="BX73" i="18523"/>
  <c r="BX71" i="18523"/>
  <c r="BX69" i="18523"/>
  <c r="BX68" i="18523"/>
  <c r="BX66" i="18523"/>
  <c r="BX65" i="18523"/>
  <c r="BX63" i="18523"/>
  <c r="BX62" i="18523"/>
  <c r="BX61" i="18523"/>
  <c r="BX60" i="18523"/>
  <c r="BX58" i="18523"/>
  <c r="BU76" i="18523"/>
  <c r="BU74" i="18523"/>
  <c r="BU73" i="18523"/>
  <c r="BU71" i="18523"/>
  <c r="BU69" i="18523"/>
  <c r="BU68" i="18523"/>
  <c r="BU66" i="18523"/>
  <c r="BU65" i="18523"/>
  <c r="BU63" i="18523"/>
  <c r="BU62" i="18523"/>
  <c r="BU61" i="18523"/>
  <c r="BU60" i="18523"/>
  <c r="BU58" i="18523"/>
  <c r="BR76" i="18523"/>
  <c r="BR74" i="18523"/>
  <c r="BR73" i="18523"/>
  <c r="BR71" i="18523"/>
  <c r="BR69" i="18523"/>
  <c r="BR68" i="18523"/>
  <c r="BR66" i="18523"/>
  <c r="BR65" i="18523"/>
  <c r="BR63" i="18523"/>
  <c r="BR62" i="18523"/>
  <c r="BR61" i="18523"/>
  <c r="BR60" i="18523"/>
  <c r="BR58" i="18523"/>
  <c r="BO76" i="18523"/>
  <c r="BO74" i="18523"/>
  <c r="BO73" i="18523"/>
  <c r="BO71" i="18523"/>
  <c r="BO69" i="18523"/>
  <c r="BO68" i="18523"/>
  <c r="BO66" i="18523"/>
  <c r="BO65" i="18523"/>
  <c r="BO63" i="18523"/>
  <c r="BO62" i="18523"/>
  <c r="BO61" i="18523"/>
  <c r="BO60" i="18523"/>
  <c r="BO58" i="18523"/>
  <c r="BL76" i="18523"/>
  <c r="BL74" i="18523"/>
  <c r="BL73" i="18523"/>
  <c r="BL71" i="18523"/>
  <c r="BL69" i="18523"/>
  <c r="BL68" i="18523"/>
  <c r="BL66" i="18523"/>
  <c r="BL65" i="18523"/>
  <c r="BL63" i="18523"/>
  <c r="BL62" i="18523"/>
  <c r="BL61" i="18523"/>
  <c r="BL60" i="18523"/>
  <c r="BL58" i="18523"/>
  <c r="BI76" i="18523"/>
  <c r="BI74" i="18523"/>
  <c r="BI73" i="18523"/>
  <c r="BI71" i="18523"/>
  <c r="BI69" i="18523"/>
  <c r="BI68" i="18523"/>
  <c r="BI66" i="18523"/>
  <c r="BI65" i="18523"/>
  <c r="BI63" i="18523"/>
  <c r="BI62" i="18523"/>
  <c r="BI61" i="18523"/>
  <c r="BI60" i="18523"/>
  <c r="BI58" i="18523"/>
  <c r="BF76" i="18523"/>
  <c r="BF74" i="18523"/>
  <c r="BF73" i="18523"/>
  <c r="BF71" i="18523"/>
  <c r="BF69" i="18523"/>
  <c r="BF68" i="18523"/>
  <c r="BF66" i="18523"/>
  <c r="BF65" i="18523"/>
  <c r="BF63" i="18523"/>
  <c r="BF62" i="18523"/>
  <c r="BF61" i="18523"/>
  <c r="BF60" i="18523"/>
  <c r="BF58" i="18523"/>
  <c r="BC76" i="18523"/>
  <c r="BC74" i="18523"/>
  <c r="BC73" i="18523"/>
  <c r="BC71" i="18523"/>
  <c r="BC69" i="18523"/>
  <c r="BC68" i="18523"/>
  <c r="BC66" i="18523"/>
  <c r="BC65" i="18523"/>
  <c r="BC63" i="18523"/>
  <c r="BC62" i="18523"/>
  <c r="BC61" i="18523"/>
  <c r="BC60" i="18523"/>
  <c r="BC58" i="18523"/>
  <c r="AZ76" i="18523"/>
  <c r="AZ74" i="18523"/>
  <c r="AZ73" i="18523"/>
  <c r="AZ71" i="18523"/>
  <c r="AZ69" i="18523"/>
  <c r="AZ68" i="18523"/>
  <c r="AZ66" i="18523"/>
  <c r="AZ65" i="18523"/>
  <c r="AZ63" i="18523"/>
  <c r="AZ62" i="18523"/>
  <c r="AZ61" i="18523"/>
  <c r="AZ60" i="18523"/>
  <c r="AZ58" i="18523"/>
  <c r="AW76" i="18523"/>
  <c r="AW74" i="18523"/>
  <c r="AW73" i="18523"/>
  <c r="AW71" i="18523"/>
  <c r="AW69" i="18523"/>
  <c r="AW68" i="18523"/>
  <c r="AW66" i="18523"/>
  <c r="AW65" i="18523"/>
  <c r="AW63" i="18523"/>
  <c r="AW62" i="18523"/>
  <c r="AW61" i="18523"/>
  <c r="AW60" i="18523"/>
  <c r="AW58" i="18523"/>
  <c r="AT76" i="18523"/>
  <c r="AT74" i="18523"/>
  <c r="AT73" i="18523"/>
  <c r="AT71" i="18523"/>
  <c r="AT69" i="18523"/>
  <c r="AT68" i="18523"/>
  <c r="AT66" i="18523"/>
  <c r="AT65" i="18523"/>
  <c r="AT63" i="18523"/>
  <c r="AT62" i="18523"/>
  <c r="AT61" i="18523"/>
  <c r="AT60" i="18523"/>
  <c r="AT58" i="18523"/>
  <c r="AQ76" i="18523"/>
  <c r="AQ74" i="18523"/>
  <c r="AQ73" i="18523"/>
  <c r="AQ71" i="18523"/>
  <c r="AQ69" i="18523"/>
  <c r="AQ68" i="18523"/>
  <c r="AQ66" i="18523"/>
  <c r="AQ65" i="18523"/>
  <c r="AQ63" i="18523"/>
  <c r="AQ62" i="18523"/>
  <c r="AQ61" i="18523"/>
  <c r="AQ60" i="18523"/>
  <c r="AQ58" i="18523"/>
  <c r="AN76" i="18523"/>
  <c r="AN74" i="18523"/>
  <c r="AN73" i="18523"/>
  <c r="AN71" i="18523"/>
  <c r="AN69" i="18523"/>
  <c r="AN68" i="18523"/>
  <c r="AN66" i="18523"/>
  <c r="AN65" i="18523"/>
  <c r="AN63" i="18523"/>
  <c r="AN62" i="18523"/>
  <c r="AN61" i="18523"/>
  <c r="AN60" i="18523"/>
  <c r="AN58" i="18523"/>
  <c r="AK76" i="18523"/>
  <c r="AK74" i="18523"/>
  <c r="AK73" i="18523"/>
  <c r="AK71" i="18523"/>
  <c r="AK69" i="18523"/>
  <c r="AK68" i="18523"/>
  <c r="AK66" i="18523"/>
  <c r="AK65" i="18523"/>
  <c r="AK63" i="18523"/>
  <c r="AK62" i="18523"/>
  <c r="AK61" i="18523"/>
  <c r="AK60" i="18523"/>
  <c r="AK58" i="18523"/>
  <c r="AH76" i="18523"/>
  <c r="AH74" i="18523"/>
  <c r="AH73" i="18523"/>
  <c r="AH71" i="18523"/>
  <c r="AH69" i="18523"/>
  <c r="AH68" i="18523"/>
  <c r="AH66" i="18523"/>
  <c r="AH65" i="18523"/>
  <c r="AH63" i="18523"/>
  <c r="AH62" i="18523"/>
  <c r="AH61" i="18523"/>
  <c r="AH60" i="18523"/>
  <c r="AH58" i="18523"/>
  <c r="AE76" i="18523"/>
  <c r="AE74" i="18523"/>
  <c r="AE73" i="18523"/>
  <c r="AE71" i="18523"/>
  <c r="AE69" i="18523"/>
  <c r="AE68" i="18523"/>
  <c r="AE66" i="18523"/>
  <c r="AE65" i="18523"/>
  <c r="AE63" i="18523"/>
  <c r="AE62" i="18523"/>
  <c r="AE61" i="18523"/>
  <c r="AE60" i="18523"/>
  <c r="AE58" i="18523"/>
  <c r="AB76" i="18523"/>
  <c r="AB74" i="18523"/>
  <c r="AB73" i="18523"/>
  <c r="AB71" i="18523"/>
  <c r="AB69" i="18523"/>
  <c r="AB68" i="18523"/>
  <c r="AB66" i="18523"/>
  <c r="AB65" i="18523"/>
  <c r="AB63" i="18523"/>
  <c r="AB62" i="18523"/>
  <c r="AB61" i="18523"/>
  <c r="AB60" i="18523"/>
  <c r="AB58" i="18523"/>
  <c r="Y76" i="18523"/>
  <c r="Y74" i="18523"/>
  <c r="Y73" i="18523"/>
  <c r="Y71" i="18523"/>
  <c r="Y69" i="18523"/>
  <c r="Y68" i="18523"/>
  <c r="Y66" i="18523"/>
  <c r="Y65" i="18523"/>
  <c r="Y63" i="18523"/>
  <c r="Y62" i="18523"/>
  <c r="Y61" i="18523"/>
  <c r="Y60" i="18523"/>
  <c r="Y58" i="18523"/>
  <c r="V76" i="18523"/>
  <c r="V74" i="18523"/>
  <c r="V73" i="18523"/>
  <c r="V71" i="18523"/>
  <c r="V69" i="18523"/>
  <c r="V68" i="18523"/>
  <c r="V66" i="18523"/>
  <c r="V65" i="18523"/>
  <c r="V63" i="18523"/>
  <c r="V62" i="18523"/>
  <c r="V61" i="18523"/>
  <c r="V60" i="18523"/>
  <c r="V58" i="18523"/>
  <c r="S76" i="18523"/>
  <c r="S74" i="18523"/>
  <c r="S73" i="18523"/>
  <c r="S71" i="18523"/>
  <c r="S69" i="18523"/>
  <c r="S68" i="18523"/>
  <c r="S66" i="18523"/>
  <c r="S65" i="18523"/>
  <c r="S63" i="18523"/>
  <c r="S62" i="18523"/>
  <c r="S61" i="18523"/>
  <c r="S60" i="18523"/>
  <c r="S58" i="18523"/>
  <c r="P76" i="18523"/>
  <c r="P74" i="18523"/>
  <c r="P73" i="18523"/>
  <c r="P71" i="18523"/>
  <c r="P69" i="18523"/>
  <c r="P68" i="18523"/>
  <c r="P66" i="18523"/>
  <c r="P65" i="18523"/>
  <c r="P63" i="18523"/>
  <c r="P62" i="18523"/>
  <c r="P61" i="18523"/>
  <c r="P60" i="18523"/>
  <c r="P58" i="18523"/>
  <c r="M76" i="18523"/>
  <c r="M74" i="18523"/>
  <c r="M73" i="18523"/>
  <c r="M71" i="18523"/>
  <c r="M69" i="18523"/>
  <c r="M68" i="18523"/>
  <c r="M66" i="18523"/>
  <c r="M65" i="18523"/>
  <c r="M63" i="18523"/>
  <c r="M62" i="18523"/>
  <c r="M61" i="18523"/>
  <c r="M60" i="18523"/>
  <c r="M58" i="18523"/>
  <c r="J76" i="18523"/>
  <c r="J74" i="18523"/>
  <c r="J73" i="18523"/>
  <c r="J71" i="18523"/>
  <c r="J69" i="18523"/>
  <c r="J68" i="18523"/>
  <c r="J66" i="18523"/>
  <c r="J65" i="18523"/>
  <c r="J63" i="18523"/>
  <c r="J62" i="18523"/>
  <c r="J61" i="18523"/>
  <c r="J60" i="18523"/>
  <c r="J58" i="18523"/>
  <c r="G76" i="18523"/>
  <c r="G74" i="18523"/>
  <c r="G73" i="18523"/>
  <c r="G71" i="18523"/>
  <c r="G69" i="18523"/>
  <c r="G68" i="18523"/>
  <c r="G66" i="18523"/>
  <c r="G65" i="18523"/>
  <c r="G63" i="18523"/>
  <c r="G62" i="18523"/>
  <c r="G61" i="18523"/>
  <c r="G60" i="18523"/>
  <c r="G58" i="18523"/>
  <c r="D76" i="18523"/>
  <c r="D74" i="18523"/>
  <c r="D73" i="18523"/>
  <c r="D71" i="18523"/>
  <c r="D69" i="18523"/>
  <c r="D68" i="18523"/>
  <c r="D66" i="18523"/>
  <c r="D65" i="18523"/>
  <c r="D63" i="18523"/>
  <c r="D62" i="18523"/>
  <c r="D61" i="18523"/>
  <c r="D60" i="18523"/>
  <c r="D58" i="18523"/>
  <c r="J76" i="18522"/>
  <c r="J74" i="18522"/>
  <c r="J73" i="18522"/>
  <c r="J71" i="18522"/>
  <c r="J69" i="18522"/>
  <c r="J68" i="18522"/>
  <c r="J66" i="18522"/>
  <c r="J65" i="18522"/>
  <c r="J63" i="18522"/>
  <c r="J62" i="18522"/>
  <c r="J61" i="18522"/>
  <c r="J60" i="18522"/>
  <c r="J58" i="18522"/>
  <c r="G76" i="18522"/>
  <c r="G74" i="18522"/>
  <c r="G73" i="18522"/>
  <c r="G71" i="18522"/>
  <c r="G69" i="18522"/>
  <c r="G68" i="18522"/>
  <c r="G66" i="18522"/>
  <c r="G65" i="18522"/>
  <c r="G63" i="18522"/>
  <c r="G62" i="18522"/>
  <c r="G61" i="18522"/>
  <c r="G60" i="18522"/>
  <c r="G58" i="18522"/>
  <c r="D76" i="18522"/>
  <c r="D74" i="18522"/>
  <c r="D73" i="18522"/>
  <c r="D71" i="18522"/>
  <c r="D69" i="18522"/>
  <c r="D68" i="18522"/>
  <c r="D66" i="18522"/>
  <c r="D65" i="18522"/>
  <c r="D63" i="18522"/>
  <c r="D62" i="18522"/>
  <c r="D61" i="18522"/>
  <c r="D60" i="18522"/>
  <c r="D58" i="18522"/>
  <c r="P51" i="1"/>
  <c r="P49" i="1"/>
  <c r="P47" i="1"/>
  <c r="P45" i="1"/>
  <c r="P43" i="1"/>
  <c r="P40" i="1"/>
  <c r="P73" i="1" s="1"/>
  <c r="P32" i="1"/>
  <c r="P33" i="1" s="1"/>
  <c r="P16" i="1"/>
  <c r="P12" i="1"/>
  <c r="P63" i="1" s="1"/>
  <c r="M51" i="1"/>
  <c r="M49" i="1"/>
  <c r="M45" i="1"/>
  <c r="M47" i="1" s="1"/>
  <c r="M42" i="1"/>
  <c r="M41" i="1"/>
  <c r="M40" i="1"/>
  <c r="M39" i="1"/>
  <c r="M32" i="1"/>
  <c r="M33" i="1" s="1"/>
  <c r="M27" i="1"/>
  <c r="V27" i="1" s="1"/>
  <c r="M16" i="1"/>
  <c r="M12" i="1"/>
  <c r="AH68" i="18524"/>
  <c r="AH46" i="18524"/>
  <c r="AH44" i="18524"/>
  <c r="AH42" i="18524"/>
  <c r="AH41" i="18524"/>
  <c r="AH39" i="18524"/>
  <c r="AH38" i="18524"/>
  <c r="AH37" i="18524"/>
  <c r="AH40" i="18524" s="1"/>
  <c r="AH31" i="18524"/>
  <c r="AH30" i="18524"/>
  <c r="AH29" i="18524"/>
  <c r="AH28" i="18524"/>
  <c r="AH27" i="18524"/>
  <c r="AH26" i="18524"/>
  <c r="AH25" i="18524"/>
  <c r="AH24" i="18524"/>
  <c r="AH23" i="18524"/>
  <c r="AH22" i="18524"/>
  <c r="AH21" i="18524"/>
  <c r="AH20" i="18524"/>
  <c r="AH32" i="18524" s="1"/>
  <c r="AH71" i="18524" s="1"/>
  <c r="AH19" i="18524"/>
  <c r="AH18" i="18524"/>
  <c r="AH15" i="18524"/>
  <c r="AH14" i="18524"/>
  <c r="AH16" i="18524" s="1"/>
  <c r="AH12" i="18524"/>
  <c r="AH11" i="18524"/>
  <c r="AH10" i="18524"/>
  <c r="AH76" i="18524" s="1"/>
  <c r="CF83" i="18523"/>
  <c r="CF82" i="18523"/>
  <c r="CF81" i="18523"/>
  <c r="CJ46" i="18523"/>
  <c r="CJ44" i="18523"/>
  <c r="CJ37" i="18523"/>
  <c r="CJ31" i="18523"/>
  <c r="CJ30" i="18523"/>
  <c r="CJ29" i="18523"/>
  <c r="CJ28" i="18523"/>
  <c r="CJ25" i="18523"/>
  <c r="CJ24" i="18523"/>
  <c r="CJ23" i="18523"/>
  <c r="CJ22" i="18523"/>
  <c r="CJ21" i="18523"/>
  <c r="CJ20" i="18523"/>
  <c r="CJ19" i="18523"/>
  <c r="CJ18" i="18523"/>
  <c r="M76" i="18522"/>
  <c r="M46" i="18522"/>
  <c r="M44" i="18522"/>
  <c r="M42" i="18522"/>
  <c r="M41" i="18522"/>
  <c r="M39" i="18522"/>
  <c r="M38" i="18522"/>
  <c r="M40" i="18522" s="1"/>
  <c r="M37" i="18522"/>
  <c r="M31" i="18522"/>
  <c r="M30" i="18522"/>
  <c r="M29" i="18522"/>
  <c r="M28" i="18522"/>
  <c r="M27" i="18522"/>
  <c r="M26" i="18522"/>
  <c r="M25" i="18522"/>
  <c r="M24" i="18522"/>
  <c r="M23" i="18522"/>
  <c r="M22" i="18522"/>
  <c r="M21" i="18522"/>
  <c r="M20" i="18522"/>
  <c r="M19" i="18522"/>
  <c r="M18" i="18522"/>
  <c r="M32" i="18522" s="1"/>
  <c r="M16" i="18522"/>
  <c r="M33" i="18522" s="1"/>
  <c r="M15" i="18522"/>
  <c r="M62" i="18522" s="1"/>
  <c r="M14" i="18522"/>
  <c r="M60" i="18522" s="1"/>
  <c r="M11" i="18522"/>
  <c r="M68" i="18522" s="1"/>
  <c r="M10" i="18522"/>
  <c r="M58" i="18522" s="1"/>
  <c r="S76" i="1"/>
  <c r="S74" i="1"/>
  <c r="S73" i="1"/>
  <c r="S71" i="1"/>
  <c r="S69" i="1"/>
  <c r="S68" i="1"/>
  <c r="S66" i="1"/>
  <c r="S65" i="1"/>
  <c r="S63" i="1"/>
  <c r="S62" i="1"/>
  <c r="S61" i="1"/>
  <c r="S60" i="1"/>
  <c r="S58" i="1"/>
  <c r="P76" i="1"/>
  <c r="P74" i="1"/>
  <c r="P69" i="1"/>
  <c r="P68" i="1"/>
  <c r="P66" i="1"/>
  <c r="P65" i="1"/>
  <c r="P60" i="1"/>
  <c r="P58" i="1"/>
  <c r="M76" i="1"/>
  <c r="M74" i="1"/>
  <c r="M73" i="1"/>
  <c r="M71" i="1"/>
  <c r="M69" i="1"/>
  <c r="M68" i="1"/>
  <c r="M66" i="1"/>
  <c r="M65" i="1"/>
  <c r="M63" i="1"/>
  <c r="M62" i="1"/>
  <c r="M61" i="1"/>
  <c r="M60" i="1"/>
  <c r="M58" i="1"/>
  <c r="J76" i="1"/>
  <c r="J74" i="1"/>
  <c r="J73" i="1"/>
  <c r="J71" i="1"/>
  <c r="J69" i="1"/>
  <c r="J68" i="1"/>
  <c r="J66" i="1"/>
  <c r="J65" i="1"/>
  <c r="J63" i="1"/>
  <c r="J62" i="1"/>
  <c r="J61" i="1"/>
  <c r="J60" i="1"/>
  <c r="J58" i="1"/>
  <c r="G76" i="1"/>
  <c r="G74" i="1"/>
  <c r="G73" i="1"/>
  <c r="G71" i="1"/>
  <c r="G69" i="1"/>
  <c r="G68" i="1"/>
  <c r="G66" i="1"/>
  <c r="G65" i="1"/>
  <c r="G63" i="1"/>
  <c r="G62" i="1"/>
  <c r="G61" i="1"/>
  <c r="G60" i="1"/>
  <c r="G58" i="1"/>
  <c r="D76" i="1"/>
  <c r="D74" i="1"/>
  <c r="D73" i="1"/>
  <c r="D71" i="1"/>
  <c r="D69" i="1"/>
  <c r="D68" i="1"/>
  <c r="D66" i="1"/>
  <c r="D65" i="1"/>
  <c r="D63" i="1"/>
  <c r="D62" i="1"/>
  <c r="D61" i="1"/>
  <c r="D60" i="1"/>
  <c r="D58" i="1"/>
  <c r="V46" i="1"/>
  <c r="V44" i="1"/>
  <c r="V42" i="1"/>
  <c r="V41" i="1"/>
  <c r="V39" i="1"/>
  <c r="V38" i="1"/>
  <c r="V37" i="1"/>
  <c r="V31" i="1"/>
  <c r="V30" i="1"/>
  <c r="V29" i="1"/>
  <c r="V28" i="1"/>
  <c r="V26" i="1"/>
  <c r="V25" i="1"/>
  <c r="V24" i="1"/>
  <c r="V23" i="1"/>
  <c r="V22" i="1"/>
  <c r="V21" i="1"/>
  <c r="V20" i="1"/>
  <c r="V19" i="1"/>
  <c r="V18" i="1"/>
  <c r="V15" i="1"/>
  <c r="V14" i="1"/>
  <c r="V11" i="1"/>
  <c r="V10" i="1"/>
  <c r="P71" i="1" l="1"/>
  <c r="P61" i="1"/>
  <c r="P62" i="1"/>
  <c r="M43" i="1"/>
  <c r="V40" i="1"/>
  <c r="V73" i="1" s="1"/>
  <c r="V32" i="1"/>
  <c r="V62" i="1" s="1"/>
  <c r="V16" i="1"/>
  <c r="V76" i="1"/>
  <c r="AH63" i="18524"/>
  <c r="AH61" i="18524"/>
  <c r="AH33" i="18524"/>
  <c r="AH73" i="18524"/>
  <c r="AH43" i="18524"/>
  <c r="AH45" i="18524" s="1"/>
  <c r="AH62" i="18524"/>
  <c r="AH69" i="18524"/>
  <c r="AH65" i="18524"/>
  <c r="AH49" i="18524"/>
  <c r="AH66" i="18524"/>
  <c r="AH58" i="18524"/>
  <c r="AH60" i="18524"/>
  <c r="M61" i="18522"/>
  <c r="M73" i="18522"/>
  <c r="M43" i="18522"/>
  <c r="M45" i="18522" s="1"/>
  <c r="M12" i="18522"/>
  <c r="V68" i="1"/>
  <c r="V58" i="1"/>
  <c r="V12" i="1"/>
  <c r="V63" i="1" s="1"/>
  <c r="V60" i="1"/>
  <c r="V40" i="18524"/>
  <c r="V43" i="18524" s="1"/>
  <c r="V45" i="18524" s="1"/>
  <c r="V32" i="18524"/>
  <c r="V33" i="18524" s="1"/>
  <c r="V27" i="18524"/>
  <c r="V19" i="18524"/>
  <c r="V16" i="18524"/>
  <c r="V12" i="18524"/>
  <c r="V49" i="18524" s="1"/>
  <c r="U19" i="18524"/>
  <c r="T19" i="18524"/>
  <c r="V42" i="18517"/>
  <c r="V41" i="18517"/>
  <c r="V43" i="18517"/>
  <c r="V45" i="18517" s="1"/>
  <c r="V40" i="18517"/>
  <c r="V33" i="18517"/>
  <c r="V49" i="18517" s="1"/>
  <c r="V32" i="18517"/>
  <c r="V16" i="18517"/>
  <c r="V12" i="18517"/>
  <c r="CF76" i="18523"/>
  <c r="CE76" i="18523"/>
  <c r="CF68" i="18523"/>
  <c r="CE68" i="18523"/>
  <c r="CF58" i="18523"/>
  <c r="CE58" i="18523"/>
  <c r="CG40" i="18523"/>
  <c r="CG43" i="18523" s="1"/>
  <c r="CG45" i="18523" s="1"/>
  <c r="CF40" i="18523"/>
  <c r="CF84" i="18523" s="1"/>
  <c r="CE40" i="18523"/>
  <c r="CE73" i="18523" s="1"/>
  <c r="CG32" i="18523"/>
  <c r="CF32" i="18523"/>
  <c r="CE32" i="18523"/>
  <c r="CE62" i="18523" s="1"/>
  <c r="CG16" i="18523"/>
  <c r="CF16" i="18523"/>
  <c r="CE16" i="18523"/>
  <c r="CG12" i="18523"/>
  <c r="CF12" i="18523"/>
  <c r="CE12" i="18523"/>
  <c r="CE69" i="18523" s="1"/>
  <c r="BI43" i="18518"/>
  <c r="BI84" i="18518"/>
  <c r="BI83" i="18518"/>
  <c r="BI82" i="18518"/>
  <c r="BI77" i="18518"/>
  <c r="BH77" i="18518"/>
  <c r="BI69" i="18518"/>
  <c r="BH69" i="18518"/>
  <c r="BI59" i="18518"/>
  <c r="BH59" i="18518"/>
  <c r="BI41" i="18518"/>
  <c r="BI44" i="18518" s="1"/>
  <c r="BI46" i="18518" s="1"/>
  <c r="BI75" i="18518" s="1"/>
  <c r="BH41" i="18518"/>
  <c r="BH44" i="18518" s="1"/>
  <c r="BH46" i="18518" s="1"/>
  <c r="BI33" i="18518"/>
  <c r="BI63" i="18518" s="1"/>
  <c r="BH33" i="18518"/>
  <c r="BH63" i="18518" s="1"/>
  <c r="BI16" i="18518"/>
  <c r="BH16" i="18518"/>
  <c r="BH64" i="18518" s="1"/>
  <c r="BI12" i="18518"/>
  <c r="BI67" i="18518" s="1"/>
  <c r="BH12" i="18518"/>
  <c r="BU40" i="18516"/>
  <c r="BU43" i="18516" s="1"/>
  <c r="BU45" i="18516" s="1"/>
  <c r="BT40" i="18516"/>
  <c r="BT43" i="18516" s="1"/>
  <c r="BT45" i="18516" s="1"/>
  <c r="BT51" i="18516" s="1"/>
  <c r="BU32" i="18516"/>
  <c r="BT32" i="18516"/>
  <c r="BU16" i="18516"/>
  <c r="BT16" i="18516"/>
  <c r="BU12" i="18516"/>
  <c r="BT12" i="18516"/>
  <c r="BS40" i="18516"/>
  <c r="BS43" i="18516" s="1"/>
  <c r="BS45" i="18516" s="1"/>
  <c r="BR40" i="18516"/>
  <c r="BR43" i="18516" s="1"/>
  <c r="BR45" i="18516" s="1"/>
  <c r="BS32" i="18516"/>
  <c r="BS33" i="18516" s="1"/>
  <c r="BR32" i="18516"/>
  <c r="BS16" i="18516"/>
  <c r="BR16" i="18516"/>
  <c r="BR33" i="18516" s="1"/>
  <c r="BS12" i="18516"/>
  <c r="BS49" i="18516" s="1"/>
  <c r="BR12" i="18516"/>
  <c r="CU44" i="18517"/>
  <c r="CT39" i="18517"/>
  <c r="CT40" i="18517" s="1"/>
  <c r="CU82" i="18517"/>
  <c r="CU81" i="18517"/>
  <c r="CU76" i="18517"/>
  <c r="CT76" i="18517"/>
  <c r="CU68" i="18517"/>
  <c r="CT68" i="18517"/>
  <c r="CU58" i="18517"/>
  <c r="CT58" i="18517"/>
  <c r="CU83" i="18517"/>
  <c r="CU32" i="18517"/>
  <c r="CU62" i="18517" s="1"/>
  <c r="CT32" i="18517"/>
  <c r="CT62" i="18517" s="1"/>
  <c r="CU16" i="18517"/>
  <c r="CT16" i="18517"/>
  <c r="CT60" i="18517" s="1"/>
  <c r="CU12" i="18517"/>
  <c r="CU66" i="18517" s="1"/>
  <c r="CT12" i="18517"/>
  <c r="BQ40" i="18516"/>
  <c r="BQ43" i="18516" s="1"/>
  <c r="BQ45" i="18516" s="1"/>
  <c r="BP40" i="18516"/>
  <c r="BP43" i="18516" s="1"/>
  <c r="BP45" i="18516" s="1"/>
  <c r="BQ32" i="18516"/>
  <c r="BP32" i="18516"/>
  <c r="BQ16" i="18516"/>
  <c r="BP16" i="18516"/>
  <c r="BQ12" i="18516"/>
  <c r="BP12" i="18516"/>
  <c r="BO40" i="18516"/>
  <c r="BO43" i="18516" s="1"/>
  <c r="BO45" i="18516" s="1"/>
  <c r="BN40" i="18516"/>
  <c r="BN43" i="18516" s="1"/>
  <c r="BN45" i="18516" s="1"/>
  <c r="BO32" i="18516"/>
  <c r="BN32" i="18516"/>
  <c r="BO16" i="18516"/>
  <c r="BN16" i="18516"/>
  <c r="BO12" i="18516"/>
  <c r="BN12" i="18516"/>
  <c r="CO40" i="18517"/>
  <c r="CO43" i="18517" s="1"/>
  <c r="CO45" i="18517" s="1"/>
  <c r="CO32" i="18517"/>
  <c r="CO16" i="18517"/>
  <c r="CO12" i="18517"/>
  <c r="BG84" i="18518"/>
  <c r="BG83" i="18518"/>
  <c r="BG82" i="18518"/>
  <c r="BG77" i="18518"/>
  <c r="BF77" i="18518"/>
  <c r="BG69" i="18518"/>
  <c r="BF69" i="18518"/>
  <c r="BG59" i="18518"/>
  <c r="BF59" i="18518"/>
  <c r="BG41" i="18518"/>
  <c r="BF41" i="18518"/>
  <c r="BF44" i="18518" s="1"/>
  <c r="BF46" i="18518" s="1"/>
  <c r="BG33" i="18518"/>
  <c r="BG63" i="18518" s="1"/>
  <c r="BF33" i="18518"/>
  <c r="BF63" i="18518" s="1"/>
  <c r="BG16" i="18518"/>
  <c r="BF16" i="18518"/>
  <c r="BG12" i="18518"/>
  <c r="BG67" i="18518" s="1"/>
  <c r="BF12" i="18518"/>
  <c r="BW46" i="18514"/>
  <c r="BV46" i="18514"/>
  <c r="BW44" i="18514"/>
  <c r="BV44" i="18514"/>
  <c r="BW42" i="18514"/>
  <c r="BV42" i="18514"/>
  <c r="BW41" i="18514"/>
  <c r="BV41" i="18514"/>
  <c r="BW39" i="18514"/>
  <c r="BV39" i="18514"/>
  <c r="BW38" i="18514"/>
  <c r="BV38" i="18514"/>
  <c r="BW37" i="18514"/>
  <c r="BV37" i="18514"/>
  <c r="BW31" i="18514"/>
  <c r="BV31" i="18514"/>
  <c r="BW30" i="18514"/>
  <c r="BV30" i="18514"/>
  <c r="BW29" i="18514"/>
  <c r="BV29" i="18514"/>
  <c r="BW28" i="18514"/>
  <c r="BV28" i="18514"/>
  <c r="BW27" i="18514"/>
  <c r="BV27" i="18514"/>
  <c r="BW26" i="18514"/>
  <c r="BV26" i="18514"/>
  <c r="BW25" i="18514"/>
  <c r="BV25" i="18514"/>
  <c r="BW24" i="18514"/>
  <c r="BV24" i="18514"/>
  <c r="BW23" i="18514"/>
  <c r="BV23" i="18514"/>
  <c r="BW22" i="18514"/>
  <c r="BV22" i="18514"/>
  <c r="BW21" i="18514"/>
  <c r="BV21" i="18514"/>
  <c r="BW20" i="18514"/>
  <c r="BV20" i="18514"/>
  <c r="BW19" i="18514"/>
  <c r="BV19" i="18514"/>
  <c r="BW18" i="18514"/>
  <c r="BV18" i="18514"/>
  <c r="BW15" i="18514"/>
  <c r="BV15" i="18514"/>
  <c r="BW14" i="18514"/>
  <c r="BV14" i="18514"/>
  <c r="BW11" i="18514"/>
  <c r="BV11" i="18514"/>
  <c r="BW10" i="18514"/>
  <c r="BV10" i="18514"/>
  <c r="BS47" i="18514"/>
  <c r="BR47" i="18514"/>
  <c r="BS45" i="18514"/>
  <c r="BR45" i="18514"/>
  <c r="BS43" i="18514"/>
  <c r="BR43" i="18514"/>
  <c r="BS40" i="18514"/>
  <c r="BR40" i="18514"/>
  <c r="BS51" i="18514"/>
  <c r="BR51" i="18514"/>
  <c r="BS49" i="18514"/>
  <c r="BR49" i="18514"/>
  <c r="BS32" i="18514"/>
  <c r="BS33" i="18514" s="1"/>
  <c r="BR32" i="18514"/>
  <c r="BR33" i="18514" s="1"/>
  <c r="BS16" i="18514"/>
  <c r="BR16" i="18514"/>
  <c r="BS12" i="18514"/>
  <c r="BR12" i="18514"/>
  <c r="J41" i="1"/>
  <c r="J42" i="1"/>
  <c r="J40" i="1"/>
  <c r="J32" i="1"/>
  <c r="J16" i="1"/>
  <c r="J12" i="1"/>
  <c r="S32" i="18524"/>
  <c r="S40" i="18524"/>
  <c r="S43" i="18524" s="1"/>
  <c r="S45" i="18524" s="1"/>
  <c r="S16" i="18524"/>
  <c r="S12" i="18524"/>
  <c r="BC32" i="18523"/>
  <c r="BC40" i="18523"/>
  <c r="BC43" i="18523" s="1"/>
  <c r="BC45" i="18523" s="1"/>
  <c r="BC16" i="18523"/>
  <c r="BC12" i="18523"/>
  <c r="AE40" i="18524"/>
  <c r="AE43" i="18524" s="1"/>
  <c r="AE45" i="18524" s="1"/>
  <c r="AE32" i="18524"/>
  <c r="AE16" i="18524"/>
  <c r="AE12" i="18524"/>
  <c r="CA51" i="18523"/>
  <c r="CA32" i="18523"/>
  <c r="CA10" i="18523"/>
  <c r="CA12" i="18523" s="1"/>
  <c r="CA16" i="18523"/>
  <c r="P51" i="18523"/>
  <c r="P32" i="18523"/>
  <c r="P16" i="18523"/>
  <c r="P12" i="18523"/>
  <c r="AW40" i="18523"/>
  <c r="AW43" i="18523" s="1"/>
  <c r="AW45" i="18523" s="1"/>
  <c r="AW32" i="18523"/>
  <c r="AW16" i="18523"/>
  <c r="AW12" i="18523"/>
  <c r="V43" i="1" l="1"/>
  <c r="V45" i="1" s="1"/>
  <c r="V74" i="1" s="1"/>
  <c r="V33" i="1"/>
  <c r="V61" i="1"/>
  <c r="V47" i="18517"/>
  <c r="V51" i="18517"/>
  <c r="AH74" i="18524"/>
  <c r="AH51" i="18524"/>
  <c r="AH47" i="18524"/>
  <c r="CF78" i="18523"/>
  <c r="CF63" i="18523"/>
  <c r="CF79" i="18523"/>
  <c r="CF62" i="18523"/>
  <c r="CF80" i="18523"/>
  <c r="CF33" i="18523"/>
  <c r="CF49" i="18523" s="1"/>
  <c r="CF69" i="18523"/>
  <c r="CE43" i="18523"/>
  <c r="CE45" i="18523" s="1"/>
  <c r="CE66" i="18523"/>
  <c r="M65" i="18522"/>
  <c r="M63" i="18522"/>
  <c r="M66" i="18522"/>
  <c r="M69" i="18522"/>
  <c r="M49" i="18522"/>
  <c r="M74" i="18522"/>
  <c r="M51" i="18522"/>
  <c r="M47" i="18522"/>
  <c r="M71" i="18522"/>
  <c r="V71" i="1"/>
  <c r="V47" i="1"/>
  <c r="V69" i="1"/>
  <c r="V66" i="1"/>
  <c r="V49" i="1"/>
  <c r="V65" i="1"/>
  <c r="V51" i="18524"/>
  <c r="V47" i="18524"/>
  <c r="CG33" i="18523"/>
  <c r="CG49" i="18523" s="1"/>
  <c r="CF43" i="18523"/>
  <c r="CF45" i="18523" s="1"/>
  <c r="CF47" i="18523" s="1"/>
  <c r="CF71" i="18523"/>
  <c r="CF61" i="18523"/>
  <c r="CF66" i="18523"/>
  <c r="CE63" i="18523"/>
  <c r="CE71" i="18523"/>
  <c r="CE47" i="18523"/>
  <c r="CE51" i="18523"/>
  <c r="CE74" i="18523"/>
  <c r="CG51" i="18523"/>
  <c r="CG47" i="18523"/>
  <c r="CE65" i="18523"/>
  <c r="CE61" i="18523"/>
  <c r="CF60" i="18523"/>
  <c r="CE60" i="18523"/>
  <c r="CF65" i="18523"/>
  <c r="CF73" i="18523"/>
  <c r="CE33" i="18523"/>
  <c r="CE49" i="18523" s="1"/>
  <c r="CA33" i="18523"/>
  <c r="CA49" i="18523" s="1"/>
  <c r="BC51" i="18523"/>
  <c r="BC47" i="18523"/>
  <c r="BH70" i="18518"/>
  <c r="BI85" i="18518"/>
  <c r="BI62" i="18518"/>
  <c r="BI61" i="18518"/>
  <c r="BI70" i="18518"/>
  <c r="BI64" i="18518"/>
  <c r="BI66" i="18518"/>
  <c r="BH75" i="18518"/>
  <c r="BH52" i="18518"/>
  <c r="BH48" i="18518"/>
  <c r="BH34" i="18518"/>
  <c r="BH50" i="18518" s="1"/>
  <c r="BH61" i="18518"/>
  <c r="BH66" i="18518"/>
  <c r="BH72" i="18518"/>
  <c r="BI79" i="18518"/>
  <c r="BI34" i="18518"/>
  <c r="BI50" i="18518" s="1"/>
  <c r="BI48" i="18518"/>
  <c r="BI72" i="18518"/>
  <c r="BI80" i="18518"/>
  <c r="BH62" i="18518"/>
  <c r="BH67" i="18518"/>
  <c r="BH74" i="18518"/>
  <c r="BI81" i="18518"/>
  <c r="BI74" i="18518"/>
  <c r="BI52" i="18518"/>
  <c r="BU33" i="18516"/>
  <c r="BU49" i="18516" s="1"/>
  <c r="BT33" i="18516"/>
  <c r="BT49" i="18516" s="1"/>
  <c r="BU51" i="18516"/>
  <c r="BU47" i="18516"/>
  <c r="BT47" i="18516"/>
  <c r="BS47" i="18516"/>
  <c r="BS51" i="18516"/>
  <c r="BR49" i="18516"/>
  <c r="BR47" i="18516"/>
  <c r="BR51" i="18516"/>
  <c r="CT69" i="18517"/>
  <c r="CT63" i="18517"/>
  <c r="CU61" i="18517"/>
  <c r="CU33" i="18517"/>
  <c r="CU63" i="18517"/>
  <c r="CU69" i="18517"/>
  <c r="CT43" i="18517"/>
  <c r="CT45" i="18517" s="1"/>
  <c r="CT73" i="18517"/>
  <c r="CU78" i="18517"/>
  <c r="CU60" i="18517"/>
  <c r="CU65" i="18517"/>
  <c r="CU71" i="18517"/>
  <c r="CU79" i="18517"/>
  <c r="CT71" i="18517"/>
  <c r="CT61" i="18517"/>
  <c r="CT66" i="18517"/>
  <c r="CU80" i="18517"/>
  <c r="CT65" i="18517"/>
  <c r="CU40" i="18517"/>
  <c r="CU49" i="18517"/>
  <c r="CT33" i="18517"/>
  <c r="CT49" i="18517" s="1"/>
  <c r="CO47" i="18517"/>
  <c r="CO51" i="18517"/>
  <c r="CO33" i="18517"/>
  <c r="CO49" i="18517" s="1"/>
  <c r="BQ51" i="18516"/>
  <c r="BQ47" i="18516"/>
  <c r="BP51" i="18516"/>
  <c r="BP47" i="18516"/>
  <c r="BQ33" i="18516"/>
  <c r="BQ49" i="18516" s="1"/>
  <c r="BP33" i="18516"/>
  <c r="BP49" i="18516" s="1"/>
  <c r="BO47" i="18516"/>
  <c r="BO51" i="18516"/>
  <c r="BO33" i="18516"/>
  <c r="BO49" i="18516" s="1"/>
  <c r="BN51" i="18516"/>
  <c r="BN47" i="18516"/>
  <c r="BN33" i="18516"/>
  <c r="BN49" i="18516" s="1"/>
  <c r="BG85" i="18518"/>
  <c r="BG44" i="18518"/>
  <c r="BG46" i="18518" s="1"/>
  <c r="BG75" i="18518" s="1"/>
  <c r="BF64" i="18518"/>
  <c r="BG62" i="18518"/>
  <c r="BG70" i="18518"/>
  <c r="BG80" i="18518"/>
  <c r="BF61" i="18518"/>
  <c r="BF70" i="18518"/>
  <c r="BG61" i="18518"/>
  <c r="BG34" i="18518"/>
  <c r="BG50" i="18518" s="1"/>
  <c r="BG64" i="18518"/>
  <c r="BF75" i="18518"/>
  <c r="BF52" i="18518"/>
  <c r="BF48" i="18518"/>
  <c r="BG79" i="18518"/>
  <c r="BG66" i="18518"/>
  <c r="BG72" i="18518"/>
  <c r="BF67" i="18518"/>
  <c r="BG81" i="18518"/>
  <c r="BG74" i="18518"/>
  <c r="BF66" i="18518"/>
  <c r="BF72" i="18518"/>
  <c r="BF62" i="18518"/>
  <c r="BF74" i="18518"/>
  <c r="BF34" i="18518"/>
  <c r="BF50" i="18518" s="1"/>
  <c r="J43" i="1"/>
  <c r="J45" i="1" s="1"/>
  <c r="J51" i="1" s="1"/>
  <c r="J33" i="1"/>
  <c r="J49" i="1" s="1"/>
  <c r="S47" i="18524"/>
  <c r="S51" i="18524"/>
  <c r="S33" i="18524"/>
  <c r="S49" i="18524" s="1"/>
  <c r="AE47" i="18524"/>
  <c r="AE51" i="18524"/>
  <c r="BC33" i="18523"/>
  <c r="BC49" i="18523" s="1"/>
  <c r="AE33" i="18524"/>
  <c r="AE49" i="18524" s="1"/>
  <c r="P33" i="18523"/>
  <c r="P49" i="18523" s="1"/>
  <c r="AW47" i="18523"/>
  <c r="AW51" i="18523"/>
  <c r="AW33" i="18523"/>
  <c r="AW49" i="18523" s="1"/>
  <c r="AZ11" i="18523"/>
  <c r="CJ11" i="18523" s="1"/>
  <c r="AZ39" i="18523"/>
  <c r="AZ40" i="18523" s="1"/>
  <c r="AZ43" i="18523" s="1"/>
  <c r="AZ45" i="18523" s="1"/>
  <c r="AZ32" i="18523"/>
  <c r="AZ15" i="18523"/>
  <c r="CJ15" i="18523" s="1"/>
  <c r="AZ14" i="18523"/>
  <c r="AZ10" i="18523"/>
  <c r="AH41" i="18523"/>
  <c r="AH40" i="18523"/>
  <c r="AH27" i="18523"/>
  <c r="AH32" i="18523" s="1"/>
  <c r="AH16" i="18523"/>
  <c r="AH12" i="18523"/>
  <c r="AK40" i="18523"/>
  <c r="AK43" i="18523" s="1"/>
  <c r="AK45" i="18523" s="1"/>
  <c r="AK32" i="18523"/>
  <c r="AK16" i="18523"/>
  <c r="AK12" i="18523"/>
  <c r="S41" i="1"/>
  <c r="S18" i="1"/>
  <c r="S32" i="1" s="1"/>
  <c r="S40" i="1"/>
  <c r="S16" i="1"/>
  <c r="S12" i="1"/>
  <c r="D42" i="18522"/>
  <c r="D41" i="18522"/>
  <c r="D40" i="18522"/>
  <c r="D43" i="18522" s="1"/>
  <c r="D45" i="18522" s="1"/>
  <c r="D32" i="18522"/>
  <c r="D21" i="18522"/>
  <c r="D24" i="18522"/>
  <c r="D18" i="18522"/>
  <c r="D16" i="18522"/>
  <c r="D12" i="18522"/>
  <c r="J51" i="18524"/>
  <c r="J32" i="18524"/>
  <c r="J33" i="18524" s="1"/>
  <c r="J16" i="18524"/>
  <c r="J12" i="18524"/>
  <c r="S40" i="18523"/>
  <c r="S43" i="18523" s="1"/>
  <c r="S45" i="18523" s="1"/>
  <c r="S32" i="18523"/>
  <c r="S16" i="18523"/>
  <c r="S12" i="18523"/>
  <c r="V51" i="1" l="1"/>
  <c r="CJ68" i="18523"/>
  <c r="CF51" i="18523"/>
  <c r="CF74" i="18523"/>
  <c r="AZ16" i="18523"/>
  <c r="AZ33" i="18523" s="1"/>
  <c r="D51" i="18522"/>
  <c r="D47" i="18522"/>
  <c r="AZ12" i="18523"/>
  <c r="CU84" i="18517"/>
  <c r="CU43" i="18517"/>
  <c r="CU45" i="18517" s="1"/>
  <c r="CU73" i="18517"/>
  <c r="CT47" i="18517"/>
  <c r="CT74" i="18517"/>
  <c r="CT51" i="18517"/>
  <c r="BG52" i="18518"/>
  <c r="BG48" i="18518"/>
  <c r="J47" i="1"/>
  <c r="J49" i="18524"/>
  <c r="AH33" i="18523"/>
  <c r="AH49" i="18523" s="1"/>
  <c r="AH43" i="18523"/>
  <c r="AH45" i="18523" s="1"/>
  <c r="AH47" i="18523" s="1"/>
  <c r="AZ51" i="18523"/>
  <c r="AZ47" i="18523"/>
  <c r="AK47" i="18523"/>
  <c r="AK51" i="18523"/>
  <c r="AK33" i="18523"/>
  <c r="AK49" i="18523" s="1"/>
  <c r="S47" i="18523"/>
  <c r="S51" i="18523"/>
  <c r="S43" i="1"/>
  <c r="S45" i="1" s="1"/>
  <c r="S47" i="1" s="1"/>
  <c r="S33" i="1"/>
  <c r="S49" i="1" s="1"/>
  <c r="D33" i="18522"/>
  <c r="D49" i="18522" s="1"/>
  <c r="S33" i="18523"/>
  <c r="S49" i="18523" s="1"/>
  <c r="AE41" i="18523"/>
  <c r="AE27" i="18523"/>
  <c r="AE32" i="18523" s="1"/>
  <c r="AE40" i="18523"/>
  <c r="AE16" i="18523"/>
  <c r="AE12" i="18523"/>
  <c r="AB41" i="18523"/>
  <c r="AB40" i="18523"/>
  <c r="AB32" i="18523"/>
  <c r="AB16" i="18523"/>
  <c r="AB12" i="18523"/>
  <c r="AN41" i="18523"/>
  <c r="AN40" i="18523"/>
  <c r="AN32" i="18523"/>
  <c r="AN16" i="18523"/>
  <c r="AN12" i="18523"/>
  <c r="D42" i="1"/>
  <c r="D40" i="1"/>
  <c r="D32" i="1"/>
  <c r="D16" i="1"/>
  <c r="D12" i="1"/>
  <c r="CC41" i="18523"/>
  <c r="BI42" i="18523"/>
  <c r="BI39" i="18523"/>
  <c r="BI40" i="18523" s="1"/>
  <c r="BI27" i="18523"/>
  <c r="BI32" i="18523" s="1"/>
  <c r="BI16" i="18523"/>
  <c r="BI10" i="18523"/>
  <c r="BI12" i="18523" s="1"/>
  <c r="CD40" i="18523"/>
  <c r="CD43" i="18523" s="1"/>
  <c r="CD45" i="18523" s="1"/>
  <c r="CD32" i="18523"/>
  <c r="CD16" i="18523"/>
  <c r="CD12" i="18523"/>
  <c r="P40" i="18524"/>
  <c r="P43" i="18524" s="1"/>
  <c r="P45" i="18524" s="1"/>
  <c r="P51" i="18524" s="1"/>
  <c r="P12" i="18524"/>
  <c r="P32" i="18524"/>
  <c r="P16" i="18524"/>
  <c r="BF42" i="18523"/>
  <c r="BF41" i="18523"/>
  <c r="BF39" i="18523"/>
  <c r="BF40" i="18523" s="1"/>
  <c r="BF26" i="18523"/>
  <c r="CJ26" i="18523" s="1"/>
  <c r="BF27" i="18523"/>
  <c r="BF16" i="18523"/>
  <c r="BF12" i="18523"/>
  <c r="AT51" i="18523"/>
  <c r="AT32" i="18523"/>
  <c r="AT16" i="18523"/>
  <c r="AT12" i="18523"/>
  <c r="G42" i="18524"/>
  <c r="G40" i="18524"/>
  <c r="G18" i="18524"/>
  <c r="G16" i="18524"/>
  <c r="G12" i="18524"/>
  <c r="M76" i="18524"/>
  <c r="M68" i="18524"/>
  <c r="M58" i="18524"/>
  <c r="M41" i="18524"/>
  <c r="M40" i="18524"/>
  <c r="M73" i="18524" s="1"/>
  <c r="M27" i="18524"/>
  <c r="M32" i="18524" s="1"/>
  <c r="M33" i="18524" s="1"/>
  <c r="M16" i="18524"/>
  <c r="M12" i="18524"/>
  <c r="M65" i="18524" s="1"/>
  <c r="AB42" i="18524"/>
  <c r="AB40" i="18524"/>
  <c r="AB32" i="18524"/>
  <c r="AB16" i="18524"/>
  <c r="AB12" i="18524"/>
  <c r="BU10" i="18523"/>
  <c r="BU12" i="18523" s="1"/>
  <c r="BU40" i="18523"/>
  <c r="BU43" i="18523" s="1"/>
  <c r="BU45" i="18523" s="1"/>
  <c r="BU51" i="18523" s="1"/>
  <c r="BU32" i="18523"/>
  <c r="BU16" i="18523"/>
  <c r="D42" i="18524"/>
  <c r="D41" i="18524"/>
  <c r="D27" i="18524"/>
  <c r="D32" i="18524" s="1"/>
  <c r="D40" i="18524"/>
  <c r="D16" i="18524"/>
  <c r="D12" i="18524"/>
  <c r="BR40" i="18523"/>
  <c r="BR43" i="18523" s="1"/>
  <c r="BR45" i="18523" s="1"/>
  <c r="BR51" i="18523" s="1"/>
  <c r="BR32" i="18523"/>
  <c r="BR16" i="18523"/>
  <c r="BR12" i="18523"/>
  <c r="BL10" i="18523"/>
  <c r="BL12" i="18523" s="1"/>
  <c r="BL40" i="18523"/>
  <c r="BL43" i="18523" s="1"/>
  <c r="BL45" i="18523" s="1"/>
  <c r="BL51" i="18523" s="1"/>
  <c r="BL32" i="18523"/>
  <c r="BL16" i="18523"/>
  <c r="V39" i="18523"/>
  <c r="V27" i="18523"/>
  <c r="V16" i="18523"/>
  <c r="V12" i="18523"/>
  <c r="G41" i="1"/>
  <c r="G42" i="1"/>
  <c r="G38" i="1"/>
  <c r="G40" i="1"/>
  <c r="G18" i="1"/>
  <c r="G32" i="1" s="1"/>
  <c r="G16" i="1"/>
  <c r="G12" i="1"/>
  <c r="D38" i="18523"/>
  <c r="D32" i="18523"/>
  <c r="D16" i="18523"/>
  <c r="D12" i="18523"/>
  <c r="G41" i="18522"/>
  <c r="G42" i="18522"/>
  <c r="G38" i="18522"/>
  <c r="G40" i="18522" s="1"/>
  <c r="G43" i="18522" s="1"/>
  <c r="G45" i="18522" s="1"/>
  <c r="G32" i="18522"/>
  <c r="G16" i="18522"/>
  <c r="G12" i="18522"/>
  <c r="Y41" i="18523"/>
  <c r="Y42" i="18523"/>
  <c r="Y40" i="18523"/>
  <c r="Y32" i="18523"/>
  <c r="Y16" i="18523"/>
  <c r="Y12" i="18523"/>
  <c r="J42" i="18523"/>
  <c r="J38" i="18523"/>
  <c r="J40" i="18523" s="1"/>
  <c r="J32" i="18523"/>
  <c r="J16" i="18523"/>
  <c r="J12" i="18523"/>
  <c r="G14" i="18523"/>
  <c r="G51" i="18523"/>
  <c r="G32" i="18523"/>
  <c r="G12" i="18523"/>
  <c r="Y76" i="18524"/>
  <c r="Y68" i="18524"/>
  <c r="Y58" i="18524"/>
  <c r="Y40" i="18524"/>
  <c r="Y73" i="18524" s="1"/>
  <c r="Y32" i="18524"/>
  <c r="Y62" i="18524" s="1"/>
  <c r="Y16" i="18524"/>
  <c r="Y12" i="18524"/>
  <c r="BE43" i="18518"/>
  <c r="BD43" i="18518"/>
  <c r="BE84" i="18518"/>
  <c r="BE83" i="18518"/>
  <c r="BE82" i="18518"/>
  <c r="BE77" i="18518"/>
  <c r="BD77" i="18518"/>
  <c r="BE69" i="18518"/>
  <c r="BD69" i="18518"/>
  <c r="BE59" i="18518"/>
  <c r="BD59" i="18518"/>
  <c r="BE41" i="18518"/>
  <c r="BD41" i="18518"/>
  <c r="BD74" i="18518" s="1"/>
  <c r="BE33" i="18518"/>
  <c r="BD33" i="18518"/>
  <c r="BD63" i="18518" s="1"/>
  <c r="BE16" i="18518"/>
  <c r="BD16" i="18518"/>
  <c r="BD61" i="18518" s="1"/>
  <c r="BE12" i="18518"/>
  <c r="BE67" i="18518" s="1"/>
  <c r="BD12" i="18518"/>
  <c r="BU83" i="18514"/>
  <c r="BU82" i="18514"/>
  <c r="BU81" i="18514"/>
  <c r="BU76" i="18514"/>
  <c r="BT76" i="18514"/>
  <c r="BU68" i="18514"/>
  <c r="BT68" i="18514"/>
  <c r="BU58" i="18514"/>
  <c r="BT58" i="18514"/>
  <c r="BQ84" i="18514"/>
  <c r="BQ83" i="18514"/>
  <c r="BQ82" i="18514"/>
  <c r="BQ76" i="18514"/>
  <c r="BP76" i="18514"/>
  <c r="BQ73" i="18514"/>
  <c r="BQ68" i="18514"/>
  <c r="BP68" i="18514"/>
  <c r="BQ58" i="18514"/>
  <c r="BP58" i="18514"/>
  <c r="BO83" i="18514"/>
  <c r="BO82" i="18514"/>
  <c r="BO81" i="18514"/>
  <c r="BO76" i="18514"/>
  <c r="BN76" i="18514"/>
  <c r="BO71" i="18514"/>
  <c r="BO68" i="18514"/>
  <c r="BN68" i="18514"/>
  <c r="BN62" i="18514"/>
  <c r="BO61" i="18514"/>
  <c r="BO58" i="18514"/>
  <c r="BN58" i="18514"/>
  <c r="BM83" i="18514"/>
  <c r="BM82" i="18514"/>
  <c r="BM81" i="18514"/>
  <c r="BM76" i="18514"/>
  <c r="BL76" i="18514"/>
  <c r="BM68" i="18514"/>
  <c r="BL68" i="18514"/>
  <c r="BM58" i="18514"/>
  <c r="BL58" i="18514"/>
  <c r="BQ42" i="18514"/>
  <c r="BP42" i="18514"/>
  <c r="BQ37" i="18514"/>
  <c r="BQ40" i="18514" s="1"/>
  <c r="BP40" i="18514"/>
  <c r="BP73" i="18514" s="1"/>
  <c r="BQ32" i="18514"/>
  <c r="BP32" i="18514"/>
  <c r="BQ16" i="18514"/>
  <c r="BQ61" i="18514" s="1"/>
  <c r="BP16" i="18514"/>
  <c r="BP61" i="18514" s="1"/>
  <c r="BQ12" i="18514"/>
  <c r="BQ69" i="18514" s="1"/>
  <c r="BP12" i="18514"/>
  <c r="BP69" i="18514" s="1"/>
  <c r="BO42" i="18514"/>
  <c r="BN42" i="18514"/>
  <c r="BU40" i="18514"/>
  <c r="BU43" i="18514" s="1"/>
  <c r="BU45" i="18514" s="1"/>
  <c r="BU74" i="18514" s="1"/>
  <c r="BT40" i="18514"/>
  <c r="BT43" i="18514" s="1"/>
  <c r="BT45" i="18514" s="1"/>
  <c r="BT74" i="18514" s="1"/>
  <c r="BU32" i="18514"/>
  <c r="BU71" i="18514" s="1"/>
  <c r="BT32" i="18514"/>
  <c r="BU16" i="18514"/>
  <c r="BU63" i="18514" s="1"/>
  <c r="BT16" i="18514"/>
  <c r="BT63" i="18514" s="1"/>
  <c r="BU12" i="18514"/>
  <c r="BU78" i="18514" s="1"/>
  <c r="BT12" i="18514"/>
  <c r="BT66" i="18514" s="1"/>
  <c r="BO40" i="18514"/>
  <c r="BO73" i="18514" s="1"/>
  <c r="BN40" i="18514"/>
  <c r="BN73" i="18514" s="1"/>
  <c r="BO32" i="18514"/>
  <c r="BO80" i="18514" s="1"/>
  <c r="BN32" i="18514"/>
  <c r="BN71" i="18514" s="1"/>
  <c r="BO16" i="18514"/>
  <c r="BN16" i="18514"/>
  <c r="BN61" i="18514" s="1"/>
  <c r="BO12" i="18514"/>
  <c r="BO78" i="18514" s="1"/>
  <c r="BN12" i="18514"/>
  <c r="BM40" i="18514"/>
  <c r="BM43" i="18514" s="1"/>
  <c r="BM45" i="18514" s="1"/>
  <c r="BM74" i="18514" s="1"/>
  <c r="BL40" i="18514"/>
  <c r="BL43" i="18514" s="1"/>
  <c r="BL45" i="18514" s="1"/>
  <c r="BL74" i="18514" s="1"/>
  <c r="BM32" i="18514"/>
  <c r="BM71" i="18514" s="1"/>
  <c r="BL32" i="18514"/>
  <c r="BM80" i="18514" s="1"/>
  <c r="BM16" i="18514"/>
  <c r="BM60" i="18514" s="1"/>
  <c r="BL16" i="18514"/>
  <c r="BL63" i="18514" s="1"/>
  <c r="BM12" i="18514"/>
  <c r="BM66" i="18514" s="1"/>
  <c r="BL12" i="18514"/>
  <c r="BL66" i="18514" s="1"/>
  <c r="BK42" i="18516"/>
  <c r="BJ42" i="18516"/>
  <c r="BM40" i="18516"/>
  <c r="BM43" i="18516" s="1"/>
  <c r="BM45" i="18516" s="1"/>
  <c r="BL40" i="18516"/>
  <c r="BL43" i="18516" s="1"/>
  <c r="BL45" i="18516" s="1"/>
  <c r="BM32" i="18516"/>
  <c r="BL32" i="18516"/>
  <c r="BM16" i="18516"/>
  <c r="BL16" i="18516"/>
  <c r="BM12" i="18516"/>
  <c r="BL12" i="18516"/>
  <c r="BK40" i="18516"/>
  <c r="BJ40" i="18516"/>
  <c r="BK32" i="18516"/>
  <c r="BJ32" i="18516"/>
  <c r="BK16" i="18516"/>
  <c r="BJ16" i="18516"/>
  <c r="BK12" i="18516"/>
  <c r="BJ12" i="18516"/>
  <c r="F55" i="18521"/>
  <c r="V32" i="18523" l="1"/>
  <c r="CJ27" i="18523"/>
  <c r="D40" i="18523"/>
  <c r="D43" i="18523" s="1"/>
  <c r="D45" i="18523" s="1"/>
  <c r="CJ38" i="18523"/>
  <c r="G16" i="18523"/>
  <c r="CJ14" i="18523"/>
  <c r="V40" i="18523"/>
  <c r="V43" i="18523" s="1"/>
  <c r="V45" i="18523" s="1"/>
  <c r="CJ39" i="18523"/>
  <c r="CJ10" i="18523"/>
  <c r="CJ32" i="18523"/>
  <c r="CJ42" i="18523"/>
  <c r="CJ41" i="18523"/>
  <c r="AZ49" i="18523"/>
  <c r="AB43" i="18524"/>
  <c r="AB45" i="18524" s="1"/>
  <c r="AH51" i="18523"/>
  <c r="CU74" i="18517"/>
  <c r="CU51" i="18517"/>
  <c r="CU47" i="18517"/>
  <c r="BO79" i="18514"/>
  <c r="BM84" i="18514"/>
  <c r="BU69" i="18514"/>
  <c r="BL73" i="18514"/>
  <c r="BO62" i="18514"/>
  <c r="BO65" i="18514"/>
  <c r="BP71" i="18514"/>
  <c r="BQ60" i="18514"/>
  <c r="BU61" i="18514"/>
  <c r="BQ71" i="18514"/>
  <c r="BM78" i="18514"/>
  <c r="BU65" i="18514"/>
  <c r="BN69" i="18514"/>
  <c r="BT71" i="18514"/>
  <c r="BO69" i="18514"/>
  <c r="BU66" i="18514"/>
  <c r="BL60" i="18514"/>
  <c r="BM61" i="18514"/>
  <c r="BM69" i="18514"/>
  <c r="BN63" i="18514"/>
  <c r="BO84" i="18514"/>
  <c r="BQ65" i="18514"/>
  <c r="BT60" i="18514"/>
  <c r="BP63" i="18514"/>
  <c r="BM79" i="18514"/>
  <c r="BL62" i="18514"/>
  <c r="BL71" i="18514"/>
  <c r="BO63" i="18514"/>
  <c r="BP66" i="18514"/>
  <c r="BU60" i="18514"/>
  <c r="BU79" i="18514"/>
  <c r="BM62" i="18514"/>
  <c r="BN65" i="18514"/>
  <c r="BQ66" i="18514"/>
  <c r="BT61" i="18514"/>
  <c r="BT69" i="18514"/>
  <c r="BU80" i="18514"/>
  <c r="BQ63" i="18514"/>
  <c r="BL61" i="18514"/>
  <c r="BP65" i="18514"/>
  <c r="BQ78" i="18514"/>
  <c r="BL69" i="18514"/>
  <c r="BP60" i="18514"/>
  <c r="BM63" i="18514"/>
  <c r="BM73" i="18514"/>
  <c r="BN66" i="18514"/>
  <c r="BQ79" i="18514"/>
  <c r="BT62" i="18514"/>
  <c r="BL65" i="18514"/>
  <c r="BO66" i="18514"/>
  <c r="BQ80" i="18514"/>
  <c r="BU62" i="18514"/>
  <c r="BM65" i="18514"/>
  <c r="BN60" i="18514"/>
  <c r="BQ81" i="18514"/>
  <c r="BT73" i="18514"/>
  <c r="BU84" i="18514"/>
  <c r="BO60" i="18514"/>
  <c r="BP62" i="18514"/>
  <c r="BU73" i="18514"/>
  <c r="BQ62" i="18514"/>
  <c r="BT65" i="18514"/>
  <c r="G43" i="18524"/>
  <c r="G45" i="18524" s="1"/>
  <c r="D43" i="18524"/>
  <c r="D45" i="18524" s="1"/>
  <c r="D47" i="18524" s="1"/>
  <c r="D51" i="18524" s="1"/>
  <c r="P33" i="18524"/>
  <c r="P49" i="18524"/>
  <c r="AE43" i="18523"/>
  <c r="AE45" i="18523" s="1"/>
  <c r="AE51" i="18523" s="1"/>
  <c r="S51" i="1"/>
  <c r="G51" i="18522"/>
  <c r="G47" i="18522"/>
  <c r="D33" i="18524"/>
  <c r="D49" i="18524" s="1"/>
  <c r="M63" i="18524"/>
  <c r="AB43" i="18523"/>
  <c r="AB45" i="18523" s="1"/>
  <c r="AB47" i="18523" s="1"/>
  <c r="AN33" i="18523"/>
  <c r="AN49" i="18523" s="1"/>
  <c r="AE33" i="18523"/>
  <c r="AE49" i="18523" s="1"/>
  <c r="BI33" i="18523"/>
  <c r="BI49" i="18523" s="1"/>
  <c r="AT33" i="18523"/>
  <c r="AT49" i="18523" s="1"/>
  <c r="AN43" i="18523"/>
  <c r="AN45" i="18523" s="1"/>
  <c r="AN47" i="18523" s="1"/>
  <c r="AB33" i="18523"/>
  <c r="AB49" i="18523" s="1"/>
  <c r="BF32" i="18523"/>
  <c r="BF33" i="18523" s="1"/>
  <c r="BF49" i="18523" s="1"/>
  <c r="BI43" i="18523"/>
  <c r="BI45" i="18523" s="1"/>
  <c r="BI47" i="18523" s="1"/>
  <c r="D43" i="1"/>
  <c r="D45" i="1" s="1"/>
  <c r="D47" i="1" s="1"/>
  <c r="D33" i="1"/>
  <c r="D49" i="1" s="1"/>
  <c r="G43" i="1"/>
  <c r="G45" i="1" s="1"/>
  <c r="CD51" i="18523"/>
  <c r="CD47" i="18523"/>
  <c r="D33" i="18523"/>
  <c r="D49" i="18523" s="1"/>
  <c r="CD33" i="18523"/>
  <c r="CD49" i="18523" s="1"/>
  <c r="G51" i="18524"/>
  <c r="G47" i="18524"/>
  <c r="M49" i="18524"/>
  <c r="M66" i="18524"/>
  <c r="BF43" i="18523"/>
  <c r="BF45" i="18523" s="1"/>
  <c r="BF51" i="18523" s="1"/>
  <c r="BR33" i="18523"/>
  <c r="BR49" i="18523" s="1"/>
  <c r="V33" i="18523"/>
  <c r="V49" i="18523" s="1"/>
  <c r="BU33" i="18523"/>
  <c r="BU49" i="18523" s="1"/>
  <c r="BL33" i="18523"/>
  <c r="BL49" i="18523" s="1"/>
  <c r="M69" i="18524"/>
  <c r="M60" i="18524"/>
  <c r="M71" i="18524"/>
  <c r="M61" i="18524"/>
  <c r="M43" i="18524"/>
  <c r="M45" i="18524" s="1"/>
  <c r="M62" i="18524"/>
  <c r="Y43" i="18524"/>
  <c r="Y45" i="18524" s="1"/>
  <c r="Y74" i="18524" s="1"/>
  <c r="AB33" i="18524"/>
  <c r="AB49" i="18524" s="1"/>
  <c r="AB51" i="18524"/>
  <c r="AB47" i="18524"/>
  <c r="V47" i="18523"/>
  <c r="V51" i="18523"/>
  <c r="D47" i="18523"/>
  <c r="D51" i="18523"/>
  <c r="Y33" i="18524"/>
  <c r="Y49" i="18524" s="1"/>
  <c r="J43" i="18523"/>
  <c r="J45" i="18523" s="1"/>
  <c r="J51" i="18523" s="1"/>
  <c r="Y60" i="18524"/>
  <c r="Y61" i="18524"/>
  <c r="G33" i="1"/>
  <c r="G49" i="1" s="1"/>
  <c r="Y33" i="18523"/>
  <c r="Y49" i="18523" s="1"/>
  <c r="J33" i="18523"/>
  <c r="J49" i="18523" s="1"/>
  <c r="G33" i="18522"/>
  <c r="G49" i="18522" s="1"/>
  <c r="Y43" i="18523"/>
  <c r="Y45" i="18523" s="1"/>
  <c r="Y47" i="18523" s="1"/>
  <c r="G33" i="18523"/>
  <c r="G49" i="18523" s="1"/>
  <c r="Y63" i="18524"/>
  <c r="Y65" i="18524"/>
  <c r="Y66" i="18524"/>
  <c r="Y69" i="18524"/>
  <c r="Y71" i="18524"/>
  <c r="BL33" i="18516"/>
  <c r="BL49" i="18516" s="1"/>
  <c r="BM33" i="18516"/>
  <c r="BM49" i="18516" s="1"/>
  <c r="BE44" i="18518"/>
  <c r="BE46" i="18518" s="1"/>
  <c r="BE75" i="18518" s="1"/>
  <c r="BD44" i="18518"/>
  <c r="BD46" i="18518" s="1"/>
  <c r="BD48" i="18518" s="1"/>
  <c r="BE85" i="18518"/>
  <c r="BE62" i="18518"/>
  <c r="BD70" i="18518"/>
  <c r="BD34" i="18518"/>
  <c r="BD50" i="18518" s="1"/>
  <c r="BD64" i="18518"/>
  <c r="BD72" i="18518"/>
  <c r="BD66" i="18518"/>
  <c r="BE61" i="18518"/>
  <c r="BE80" i="18518"/>
  <c r="BE64" i="18518"/>
  <c r="BE79" i="18518"/>
  <c r="BE66" i="18518"/>
  <c r="BE72" i="18518"/>
  <c r="BE70" i="18518"/>
  <c r="BD62" i="18518"/>
  <c r="BD67" i="18518"/>
  <c r="BE81" i="18518"/>
  <c r="BE74" i="18518"/>
  <c r="BE63" i="18518"/>
  <c r="BE34" i="18518"/>
  <c r="BE50" i="18518" s="1"/>
  <c r="BQ43" i="18514"/>
  <c r="BQ45" i="18514" s="1"/>
  <c r="BP43" i="18514"/>
  <c r="BP45" i="18514" s="1"/>
  <c r="BP74" i="18514" s="1"/>
  <c r="BQ33" i="18514"/>
  <c r="BQ49" i="18514" s="1"/>
  <c r="BP33" i="18514"/>
  <c r="BP49" i="18514" s="1"/>
  <c r="BP47" i="18514"/>
  <c r="BU33" i="18514"/>
  <c r="BU49" i="18514" s="1"/>
  <c r="BT33" i="18514"/>
  <c r="BT49" i="18514" s="1"/>
  <c r="BO43" i="18514"/>
  <c r="BO45" i="18514" s="1"/>
  <c r="BN43" i="18514"/>
  <c r="BN45" i="18514" s="1"/>
  <c r="BO33" i="18514"/>
  <c r="BO49" i="18514" s="1"/>
  <c r="BT51" i="18514"/>
  <c r="BT47" i="18514"/>
  <c r="BU51" i="18514"/>
  <c r="BU47" i="18514"/>
  <c r="BN33" i="18514"/>
  <c r="BN49" i="18514" s="1"/>
  <c r="BM33" i="18514"/>
  <c r="BM49" i="18514" s="1"/>
  <c r="BL33" i="18514"/>
  <c r="BL49" i="18514" s="1"/>
  <c r="BL51" i="18514"/>
  <c r="BL47" i="18514"/>
  <c r="BM51" i="18514"/>
  <c r="BM47" i="18514"/>
  <c r="BK43" i="18516"/>
  <c r="BK45" i="18516" s="1"/>
  <c r="BK47" i="18516" s="1"/>
  <c r="BJ43" i="18516"/>
  <c r="BJ45" i="18516" s="1"/>
  <c r="BJ51" i="18516" s="1"/>
  <c r="BM51" i="18516"/>
  <c r="BM47" i="18516"/>
  <c r="BL51" i="18516"/>
  <c r="BL47" i="18516"/>
  <c r="BK33" i="18516"/>
  <c r="BK49" i="18516" s="1"/>
  <c r="BJ33" i="18516"/>
  <c r="BJ49" i="18516" s="1"/>
  <c r="C21" i="18514"/>
  <c r="C18" i="18514"/>
  <c r="AM39" i="18518"/>
  <c r="AM14" i="18518"/>
  <c r="AM11" i="18518"/>
  <c r="AM10" i="18518"/>
  <c r="AE40" i="18518"/>
  <c r="AE10" i="18518"/>
  <c r="CW46" i="18517"/>
  <c r="CV46" i="18517"/>
  <c r="CW44" i="18517"/>
  <c r="CW31" i="18517"/>
  <c r="CV31" i="18517"/>
  <c r="CW30" i="18517"/>
  <c r="CV30" i="18517"/>
  <c r="CW29" i="18517"/>
  <c r="CV29" i="18517"/>
  <c r="CW28" i="18517"/>
  <c r="CV28" i="18517"/>
  <c r="CV27" i="18517"/>
  <c r="CW26" i="18517"/>
  <c r="CV26" i="18517"/>
  <c r="CW25" i="18517"/>
  <c r="CV25" i="18517"/>
  <c r="CW23" i="18517"/>
  <c r="CV23" i="18517"/>
  <c r="CW22" i="18517"/>
  <c r="CV22" i="18517"/>
  <c r="CW21" i="18517"/>
  <c r="CV21" i="18517"/>
  <c r="CW20" i="18517"/>
  <c r="CV20" i="18517"/>
  <c r="CW19" i="18517"/>
  <c r="CV19" i="18517"/>
  <c r="CW18" i="18517"/>
  <c r="CV18" i="18517"/>
  <c r="CW15" i="18517"/>
  <c r="CV15" i="18517"/>
  <c r="CW14" i="18517"/>
  <c r="CV14" i="18517"/>
  <c r="CW10" i="18517"/>
  <c r="AG46" i="18524"/>
  <c r="AF46" i="18524"/>
  <c r="AG38" i="18524"/>
  <c r="AF38" i="18524"/>
  <c r="AG37" i="18524"/>
  <c r="AF37" i="18524"/>
  <c r="AG31" i="18524"/>
  <c r="AF31" i="18524"/>
  <c r="AG29" i="18524"/>
  <c r="AF29" i="18524"/>
  <c r="AG28" i="18524"/>
  <c r="AF28" i="18524"/>
  <c r="AG25" i="18524"/>
  <c r="AF25" i="18524"/>
  <c r="AG24" i="18524"/>
  <c r="AF24" i="18524"/>
  <c r="AF23" i="18524"/>
  <c r="AG22" i="18524"/>
  <c r="AF22" i="18524"/>
  <c r="AG21" i="18524"/>
  <c r="AF21" i="18524"/>
  <c r="AG20" i="18524"/>
  <c r="AF20" i="18524"/>
  <c r="AG19" i="18524"/>
  <c r="AF19" i="18524"/>
  <c r="AG11" i="18524"/>
  <c r="AF11" i="18524"/>
  <c r="CI46" i="18523"/>
  <c r="CH46" i="18523"/>
  <c r="CI44" i="18523"/>
  <c r="CH44" i="18523"/>
  <c r="CH37" i="18523"/>
  <c r="CI31" i="18523"/>
  <c r="CH31" i="18523"/>
  <c r="CI30" i="18523"/>
  <c r="CH30" i="18523"/>
  <c r="CI29" i="18523"/>
  <c r="CH29" i="18523"/>
  <c r="CI28" i="18523"/>
  <c r="CH28" i="18523"/>
  <c r="CI27" i="18523"/>
  <c r="CH27" i="18523"/>
  <c r="CI25" i="18523"/>
  <c r="CH25" i="18523"/>
  <c r="CI24" i="18523"/>
  <c r="CH24" i="18523"/>
  <c r="CI23" i="18523"/>
  <c r="CH23" i="18523"/>
  <c r="CI22" i="18523"/>
  <c r="CH22" i="18523"/>
  <c r="CI21" i="18523"/>
  <c r="CH21" i="18523"/>
  <c r="CI20" i="18523"/>
  <c r="CH20" i="18523"/>
  <c r="CI19" i="18523"/>
  <c r="CH19" i="18523"/>
  <c r="CI18" i="18523"/>
  <c r="CH18" i="18523"/>
  <c r="CI15" i="18523"/>
  <c r="CH15" i="18523"/>
  <c r="CI14" i="18523"/>
  <c r="CH14" i="18523"/>
  <c r="CI11" i="18523"/>
  <c r="CI10" i="18523"/>
  <c r="AC12" i="18524"/>
  <c r="AD12" i="18524"/>
  <c r="AD66" i="18524" s="1"/>
  <c r="AC16" i="18524"/>
  <c r="AC60" i="18524" s="1"/>
  <c r="AD16" i="18524"/>
  <c r="AC32" i="18524"/>
  <c r="AC62" i="18524" s="1"/>
  <c r="AD32" i="18524"/>
  <c r="AD62" i="18524" s="1"/>
  <c r="AC40" i="18524"/>
  <c r="AC73" i="18524" s="1"/>
  <c r="AD40" i="18524"/>
  <c r="AD73" i="18524" s="1"/>
  <c r="AC58" i="18524"/>
  <c r="AD58" i="18524"/>
  <c r="AC68" i="18524"/>
  <c r="AD68" i="18524"/>
  <c r="AC76" i="18524"/>
  <c r="AD76" i="18524"/>
  <c r="AD81" i="18524"/>
  <c r="AD82" i="18524"/>
  <c r="AD83" i="18524"/>
  <c r="BJ12" i="18514"/>
  <c r="BK12" i="18514"/>
  <c r="BK78" i="18514" s="1"/>
  <c r="BJ16" i="18514"/>
  <c r="BJ60" i="18514" s="1"/>
  <c r="BK16" i="18514"/>
  <c r="BJ32" i="18514"/>
  <c r="BJ62" i="18514" s="1"/>
  <c r="BK32" i="18514"/>
  <c r="BK62" i="18514" s="1"/>
  <c r="BJ40" i="18514"/>
  <c r="BJ43" i="18514" s="1"/>
  <c r="BJ45" i="18514" s="1"/>
  <c r="BK40" i="18514"/>
  <c r="BK84" i="18514" s="1"/>
  <c r="BJ58" i="18514"/>
  <c r="BK58" i="18514"/>
  <c r="BJ68" i="18514"/>
  <c r="BK68" i="18514"/>
  <c r="BJ76" i="18514"/>
  <c r="BK76" i="18514"/>
  <c r="BK81" i="18514"/>
  <c r="BK82" i="18514"/>
  <c r="BK83" i="18514"/>
  <c r="CB12" i="18523"/>
  <c r="CC12" i="18523"/>
  <c r="CC66" i="18523" s="1"/>
  <c r="CB16" i="18523"/>
  <c r="CB60" i="18523" s="1"/>
  <c r="CC16" i="18523"/>
  <c r="CC60" i="18523" s="1"/>
  <c r="CB32" i="18523"/>
  <c r="CB62" i="18523" s="1"/>
  <c r="CC32" i="18523"/>
  <c r="CB40" i="18523"/>
  <c r="CB73" i="18523" s="1"/>
  <c r="CC40" i="18523"/>
  <c r="CC43" i="18523" s="1"/>
  <c r="CC45" i="18523" s="1"/>
  <c r="CB41" i="18523"/>
  <c r="CB42" i="18523"/>
  <c r="CB58" i="18523"/>
  <c r="CC58" i="18523"/>
  <c r="CB68" i="18523"/>
  <c r="CC68" i="18523"/>
  <c r="CB76" i="18523"/>
  <c r="CC76" i="18523"/>
  <c r="CC81" i="18523"/>
  <c r="CC82" i="18523"/>
  <c r="CC83" i="18523"/>
  <c r="BY12" i="18523"/>
  <c r="BZ12" i="18523"/>
  <c r="BY16" i="18523"/>
  <c r="BY60" i="18523" s="1"/>
  <c r="BZ16" i="18523"/>
  <c r="BY32" i="18523"/>
  <c r="BZ32" i="18523"/>
  <c r="BZ62" i="18523" s="1"/>
  <c r="BY38" i="18523"/>
  <c r="BY40" i="18523" s="1"/>
  <c r="BZ38" i="18523"/>
  <c r="BZ40" i="18523" s="1"/>
  <c r="BY42" i="18523"/>
  <c r="BZ42" i="18523"/>
  <c r="BY58" i="18523"/>
  <c r="BZ58" i="18523"/>
  <c r="BY68" i="18523"/>
  <c r="BZ68" i="18523"/>
  <c r="BY76" i="18523"/>
  <c r="BZ76" i="18523"/>
  <c r="BZ81" i="18523"/>
  <c r="BZ83" i="18523"/>
  <c r="BH12" i="18516"/>
  <c r="BH66" i="18516" s="1"/>
  <c r="BI12" i="18516"/>
  <c r="BH16" i="18516"/>
  <c r="BI16" i="18516"/>
  <c r="BI60" i="18516" s="1"/>
  <c r="BH32" i="18516"/>
  <c r="BH62" i="18516" s="1"/>
  <c r="BI32" i="18516"/>
  <c r="BI62" i="18516" s="1"/>
  <c r="BH40" i="18516"/>
  <c r="BH73" i="18516" s="1"/>
  <c r="BI40" i="18516"/>
  <c r="BH41" i="18516"/>
  <c r="BI41" i="18516"/>
  <c r="BH42" i="18516"/>
  <c r="BI42" i="18516"/>
  <c r="BH58" i="18516"/>
  <c r="BI58" i="18516"/>
  <c r="BH68" i="18516"/>
  <c r="BI68" i="18516"/>
  <c r="BH76" i="18516"/>
  <c r="BI76" i="18516"/>
  <c r="BI81" i="18516"/>
  <c r="BI82" i="18516"/>
  <c r="BI83" i="18516"/>
  <c r="BF12" i="18516"/>
  <c r="BG12" i="18516"/>
  <c r="BG66" i="18516" s="1"/>
  <c r="BF16" i="18516"/>
  <c r="BF60" i="18516" s="1"/>
  <c r="BG16" i="18516"/>
  <c r="BF32" i="18516"/>
  <c r="BF62" i="18516" s="1"/>
  <c r="BG32" i="18516"/>
  <c r="BG62" i="18516" s="1"/>
  <c r="BF40" i="18516"/>
  <c r="BF73" i="18516" s="1"/>
  <c r="BG40" i="18516"/>
  <c r="BG43" i="18516" s="1"/>
  <c r="BG45" i="18516" s="1"/>
  <c r="BF58" i="18516"/>
  <c r="BG58" i="18516"/>
  <c r="BF68" i="18516"/>
  <c r="BG68" i="18516"/>
  <c r="BF76" i="18516"/>
  <c r="BG76" i="18516"/>
  <c r="BG81" i="18516"/>
  <c r="BG82" i="18516"/>
  <c r="BG83" i="18516"/>
  <c r="CR12" i="18517"/>
  <c r="CR66" i="18517" s="1"/>
  <c r="CS12" i="18517"/>
  <c r="CS66" i="18517" s="1"/>
  <c r="CR16" i="18517"/>
  <c r="CR60" i="18517" s="1"/>
  <c r="CS16" i="18517"/>
  <c r="CR32" i="18517"/>
  <c r="CS32" i="18517"/>
  <c r="CS62" i="18517" s="1"/>
  <c r="CR39" i="18517"/>
  <c r="CR40" i="18517" s="1"/>
  <c r="CR43" i="18517" s="1"/>
  <c r="CR45" i="18517" s="1"/>
  <c r="CS39" i="18517"/>
  <c r="CR58" i="18517"/>
  <c r="CS58" i="18517"/>
  <c r="CR68" i="18517"/>
  <c r="CS68" i="18517"/>
  <c r="CR76" i="18517"/>
  <c r="CS76" i="18517"/>
  <c r="CS81" i="18517"/>
  <c r="CS82" i="18517"/>
  <c r="CM12" i="18517"/>
  <c r="CN12" i="18517"/>
  <c r="CP12" i="18517"/>
  <c r="CP66" i="18517" s="1"/>
  <c r="CQ12" i="18517"/>
  <c r="CM16" i="18517"/>
  <c r="CN16" i="18517"/>
  <c r="CN60" i="18517" s="1"/>
  <c r="CP16" i="18517"/>
  <c r="CP60" i="18517" s="1"/>
  <c r="CQ16" i="18517"/>
  <c r="CM32" i="18517"/>
  <c r="CM62" i="18517" s="1"/>
  <c r="CN32" i="18517"/>
  <c r="CN62" i="18517" s="1"/>
  <c r="CP32" i="18517"/>
  <c r="CP62" i="18517" s="1"/>
  <c r="CQ32" i="18517"/>
  <c r="CM40" i="18517"/>
  <c r="CM43" i="18517" s="1"/>
  <c r="CM45" i="18517" s="1"/>
  <c r="CN40" i="18517"/>
  <c r="CP40" i="18517"/>
  <c r="CP43" i="18517" s="1"/>
  <c r="CP45" i="18517" s="1"/>
  <c r="CQ40" i="18517"/>
  <c r="CM58" i="18517"/>
  <c r="CN58" i="18517"/>
  <c r="CP58" i="18517"/>
  <c r="CQ58" i="18517"/>
  <c r="CQ62" i="18517"/>
  <c r="CM68" i="18517"/>
  <c r="CN68" i="18517"/>
  <c r="CP68" i="18517"/>
  <c r="CQ68" i="18517"/>
  <c r="CM76" i="18517"/>
  <c r="CN76" i="18517"/>
  <c r="CP76" i="18517"/>
  <c r="CQ76" i="18517"/>
  <c r="CN81" i="18517"/>
  <c r="CQ81" i="18517"/>
  <c r="CN82" i="18517"/>
  <c r="CQ82" i="18517"/>
  <c r="CN83" i="18517"/>
  <c r="CQ83" i="18517"/>
  <c r="CE12" i="18517"/>
  <c r="CE66" i="18517" s="1"/>
  <c r="CF12" i="18517"/>
  <c r="CF66" i="18517" s="1"/>
  <c r="CG12" i="18517"/>
  <c r="CH12" i="18517"/>
  <c r="CH66" i="18517" s="1"/>
  <c r="CI12" i="18517"/>
  <c r="CI66" i="18517" s="1"/>
  <c r="CJ12" i="18517"/>
  <c r="CK12" i="18517"/>
  <c r="CL12" i="18517"/>
  <c r="CE16" i="18517"/>
  <c r="CF16" i="18517"/>
  <c r="CG16" i="18517"/>
  <c r="CH16" i="18517"/>
  <c r="CI16" i="18517"/>
  <c r="CJ16" i="18517"/>
  <c r="CK16" i="18517"/>
  <c r="CK60" i="18517" s="1"/>
  <c r="CL16" i="18517"/>
  <c r="CL60" i="18517" s="1"/>
  <c r="CE32" i="18517"/>
  <c r="CE62" i="18517" s="1"/>
  <c r="CF32" i="18517"/>
  <c r="CG32" i="18517"/>
  <c r="CH32" i="18517"/>
  <c r="CH62" i="18517" s="1"/>
  <c r="CI32" i="18517"/>
  <c r="CI62" i="18517" s="1"/>
  <c r="CJ32" i="18517"/>
  <c r="CJ62" i="18517" s="1"/>
  <c r="CK32" i="18517"/>
  <c r="CK62" i="18517" s="1"/>
  <c r="CL32" i="18517"/>
  <c r="CL62" i="18517" s="1"/>
  <c r="CE39" i="18517"/>
  <c r="CE40" i="18517" s="1"/>
  <c r="CF39" i="18517"/>
  <c r="CF40" i="18517" s="1"/>
  <c r="CF73" i="18517" s="1"/>
  <c r="CG40" i="18517"/>
  <c r="CG73" i="18517" s="1"/>
  <c r="CH40" i="18517"/>
  <c r="CH43" i="18517" s="1"/>
  <c r="CH45" i="18517" s="1"/>
  <c r="CI40" i="18517"/>
  <c r="CJ40" i="18517"/>
  <c r="CK40" i="18517"/>
  <c r="CL40" i="18517"/>
  <c r="CI41" i="18517"/>
  <c r="CJ41" i="18517"/>
  <c r="CK41" i="18517"/>
  <c r="CL41" i="18517"/>
  <c r="CE42" i="18517"/>
  <c r="CF42" i="18517"/>
  <c r="CI42" i="18517"/>
  <c r="CJ42" i="18517"/>
  <c r="CK42" i="18517"/>
  <c r="CL42" i="18517"/>
  <c r="CE58" i="18517"/>
  <c r="CF58" i="18517"/>
  <c r="CG58" i="18517"/>
  <c r="CH58" i="18517"/>
  <c r="CI58" i="18517"/>
  <c r="CJ58" i="18517"/>
  <c r="CK58" i="18517"/>
  <c r="CL58" i="18517"/>
  <c r="CE68" i="18517"/>
  <c r="CF68" i="18517"/>
  <c r="CG68" i="18517"/>
  <c r="CH68" i="18517"/>
  <c r="CI68" i="18517"/>
  <c r="CJ68" i="18517"/>
  <c r="CK68" i="18517"/>
  <c r="CL68" i="18517"/>
  <c r="CE76" i="18517"/>
  <c r="CF76" i="18517"/>
  <c r="CG76" i="18517"/>
  <c r="CH76" i="18517"/>
  <c r="CI76" i="18517"/>
  <c r="CJ76" i="18517"/>
  <c r="CK76" i="18517"/>
  <c r="CL76" i="18517"/>
  <c r="CF81" i="18517"/>
  <c r="CH81" i="18517"/>
  <c r="CJ81" i="18517"/>
  <c r="CL81" i="18517"/>
  <c r="CF82" i="18517"/>
  <c r="CH82" i="18517"/>
  <c r="CJ82" i="18517"/>
  <c r="CL82" i="18517"/>
  <c r="CH83" i="18517"/>
  <c r="CJ83" i="18517"/>
  <c r="CL83" i="18517"/>
  <c r="CA12" i="18517"/>
  <c r="CB12" i="18517"/>
  <c r="CC12" i="18517"/>
  <c r="CC66" i="18517" s="1"/>
  <c r="CD12" i="18517"/>
  <c r="CD66" i="18517" s="1"/>
  <c r="CA16" i="18517"/>
  <c r="CB16" i="18517"/>
  <c r="CC16" i="18517"/>
  <c r="CD16" i="18517"/>
  <c r="CA32" i="18517"/>
  <c r="CA62" i="18517" s="1"/>
  <c r="CB32" i="18517"/>
  <c r="CC32" i="18517"/>
  <c r="CC62" i="18517" s="1"/>
  <c r="CD32" i="18517"/>
  <c r="CD62" i="18517" s="1"/>
  <c r="CC39" i="18517"/>
  <c r="CC40" i="18517" s="1"/>
  <c r="CC43" i="18517" s="1"/>
  <c r="CC45" i="18517" s="1"/>
  <c r="CD39" i="18517"/>
  <c r="CD40" i="18517" s="1"/>
  <c r="CA40" i="18517"/>
  <c r="CB40" i="18517"/>
  <c r="CA41" i="18517"/>
  <c r="CB41" i="18517"/>
  <c r="CA42" i="18517"/>
  <c r="CB42" i="18517"/>
  <c r="CA58" i="18517"/>
  <c r="CB58" i="18517"/>
  <c r="CC58" i="18517"/>
  <c r="CD58" i="18517"/>
  <c r="CA68" i="18517"/>
  <c r="CB68" i="18517"/>
  <c r="CC68" i="18517"/>
  <c r="CD68" i="18517"/>
  <c r="CA76" i="18517"/>
  <c r="CB76" i="18517"/>
  <c r="CC76" i="18517"/>
  <c r="CD76" i="18517"/>
  <c r="CB81" i="18517"/>
  <c r="CD81" i="18517"/>
  <c r="CB82" i="18517"/>
  <c r="CD82" i="18517"/>
  <c r="CB83" i="18517"/>
  <c r="CQ80" i="18517" l="1"/>
  <c r="CR61" i="18517"/>
  <c r="CJ16" i="18523"/>
  <c r="CJ60" i="18523"/>
  <c r="CJ40" i="18523"/>
  <c r="CJ62" i="18523"/>
  <c r="CJ76" i="18523"/>
  <c r="CJ58" i="18523"/>
  <c r="CJ12" i="18523"/>
  <c r="CJ71" i="18523" s="1"/>
  <c r="CS33" i="18517"/>
  <c r="CS49" i="18517" s="1"/>
  <c r="AE47" i="18523"/>
  <c r="CN84" i="18517"/>
  <c r="CJ84" i="18517"/>
  <c r="CJ78" i="18517"/>
  <c r="CM69" i="18517"/>
  <c r="CS60" i="18517"/>
  <c r="CS69" i="18517"/>
  <c r="CS83" i="18517"/>
  <c r="BH61" i="18516"/>
  <c r="BK51" i="18516"/>
  <c r="BJ47" i="18516"/>
  <c r="BI80" i="18516"/>
  <c r="CM63" i="18517"/>
  <c r="CS79" i="18517"/>
  <c r="CS78" i="18517"/>
  <c r="CS65" i="18517"/>
  <c r="CR69" i="18517"/>
  <c r="CR65" i="18517"/>
  <c r="CH78" i="18517"/>
  <c r="CP63" i="18517"/>
  <c r="CS63" i="18517"/>
  <c r="BP51" i="18514"/>
  <c r="BQ51" i="18514"/>
  <c r="BQ74" i="18514"/>
  <c r="BN47" i="18514"/>
  <c r="BN74" i="18514"/>
  <c r="BO51" i="18514"/>
  <c r="BO74" i="18514"/>
  <c r="D51" i="1"/>
  <c r="AB51" i="18523"/>
  <c r="AC69" i="18524"/>
  <c r="BF47" i="18523"/>
  <c r="BZ78" i="18523"/>
  <c r="AN51" i="18523"/>
  <c r="BI51" i="18523"/>
  <c r="G51" i="1"/>
  <c r="G47" i="1"/>
  <c r="Y47" i="18524"/>
  <c r="M51" i="18524"/>
  <c r="M74" i="18524"/>
  <c r="Y51" i="18524"/>
  <c r="AD78" i="18524"/>
  <c r="M47" i="18524"/>
  <c r="AD61" i="18524"/>
  <c r="J47" i="18523"/>
  <c r="Y51" i="18523"/>
  <c r="CC69" i="18523"/>
  <c r="BY65" i="18523"/>
  <c r="CB69" i="18523"/>
  <c r="BY66" i="18523"/>
  <c r="BZ66" i="18523"/>
  <c r="BY33" i="18523"/>
  <c r="BY49" i="18523" s="1"/>
  <c r="BZ69" i="18523"/>
  <c r="CB63" i="18523"/>
  <c r="CB43" i="18523"/>
  <c r="CB45" i="18523" s="1"/>
  <c r="CB47" i="18523" s="1"/>
  <c r="BZ71" i="18523"/>
  <c r="CC71" i="18523"/>
  <c r="CC73" i="18523"/>
  <c r="CB61" i="18523"/>
  <c r="CC78" i="18523"/>
  <c r="BY61" i="18523"/>
  <c r="CB33" i="18523"/>
  <c r="CB49" i="18523" s="1"/>
  <c r="CC84" i="18523"/>
  <c r="BY62" i="18523"/>
  <c r="BY71" i="18523"/>
  <c r="BY69" i="18523"/>
  <c r="BZ82" i="18523"/>
  <c r="AC43" i="18524"/>
  <c r="AC45" i="18524" s="1"/>
  <c r="AC47" i="18524" s="1"/>
  <c r="AD84" i="18524"/>
  <c r="AC61" i="18524"/>
  <c r="BE52" i="18518"/>
  <c r="BE48" i="18518"/>
  <c r="BD52" i="18518"/>
  <c r="BD75" i="18518"/>
  <c r="BQ47" i="18514"/>
  <c r="BJ73" i="18514"/>
  <c r="BO47" i="18514"/>
  <c r="BN51" i="18514"/>
  <c r="BK66" i="18514"/>
  <c r="BK61" i="18514"/>
  <c r="BK73" i="18514"/>
  <c r="BK80" i="18514"/>
  <c r="BJ33" i="18514"/>
  <c r="BJ61" i="18514"/>
  <c r="BJ71" i="18514"/>
  <c r="BK60" i="18514"/>
  <c r="BH71" i="18516"/>
  <c r="BI43" i="18516"/>
  <c r="BI45" i="18516" s="1"/>
  <c r="BI51" i="18516" s="1"/>
  <c r="BH65" i="18516"/>
  <c r="BH60" i="18516"/>
  <c r="BH43" i="18516"/>
  <c r="BH45" i="18516" s="1"/>
  <c r="BH74" i="18516" s="1"/>
  <c r="BI79" i="18516"/>
  <c r="BI69" i="18516"/>
  <c r="BI61" i="18516"/>
  <c r="BI78" i="18516"/>
  <c r="BI66" i="18516"/>
  <c r="BI65" i="18516"/>
  <c r="BI73" i="18516"/>
  <c r="BI63" i="18516"/>
  <c r="BI71" i="18516"/>
  <c r="BI33" i="18516"/>
  <c r="BI49" i="18516" s="1"/>
  <c r="BH69" i="18516"/>
  <c r="BH33" i="18516"/>
  <c r="BH49" i="18516" s="1"/>
  <c r="BK69" i="18514"/>
  <c r="BJ69" i="18514"/>
  <c r="BK65" i="18514"/>
  <c r="BK79" i="18514"/>
  <c r="BK63" i="18514"/>
  <c r="CN80" i="18517"/>
  <c r="CS80" i="18517"/>
  <c r="CM73" i="18517"/>
  <c r="CR62" i="18517"/>
  <c r="CS71" i="18517"/>
  <c r="CF79" i="18517"/>
  <c r="CM33" i="18517"/>
  <c r="CM49" i="18517" s="1"/>
  <c r="CR71" i="18517"/>
  <c r="CQ78" i="18517"/>
  <c r="AD80" i="18524"/>
  <c r="AD79" i="18524"/>
  <c r="AD60" i="18524"/>
  <c r="AD43" i="18524"/>
  <c r="AD45" i="18524" s="1"/>
  <c r="AC66" i="18524"/>
  <c r="AD65" i="18524"/>
  <c r="AD33" i="18524"/>
  <c r="AD49" i="18524" s="1"/>
  <c r="AC65" i="18524"/>
  <c r="AC33" i="18524"/>
  <c r="AC49" i="18524" s="1"/>
  <c r="AD63" i="18524"/>
  <c r="AC63" i="18524"/>
  <c r="AD71" i="18524"/>
  <c r="AC71" i="18524"/>
  <c r="AD69" i="18524"/>
  <c r="BJ47" i="18514"/>
  <c r="BJ51" i="18514"/>
  <c r="BJ74" i="18514"/>
  <c r="BK43" i="18514"/>
  <c r="BK45" i="18514" s="1"/>
  <c r="BJ66" i="18514"/>
  <c r="BK33" i="18514"/>
  <c r="BK49" i="18514" s="1"/>
  <c r="BJ65" i="18514"/>
  <c r="BJ63" i="18514"/>
  <c r="BJ49" i="18514"/>
  <c r="BK71" i="18514"/>
  <c r="CC47" i="18523"/>
  <c r="CC51" i="18523"/>
  <c r="CC74" i="18523"/>
  <c r="CB66" i="18523"/>
  <c r="CC65" i="18523"/>
  <c r="CB65" i="18523"/>
  <c r="CC63" i="18523"/>
  <c r="CC33" i="18523"/>
  <c r="CC49" i="18523" s="1"/>
  <c r="CB71" i="18523"/>
  <c r="CC62" i="18523"/>
  <c r="CC61" i="18523"/>
  <c r="CC80" i="18523"/>
  <c r="CC79" i="18523"/>
  <c r="BZ65" i="18523"/>
  <c r="BZ63" i="18523"/>
  <c r="BZ79" i="18523"/>
  <c r="BY43" i="18523"/>
  <c r="BY45" i="18523" s="1"/>
  <c r="BY51" i="18523" s="1"/>
  <c r="BZ33" i="18523"/>
  <c r="BZ49" i="18523" s="1"/>
  <c r="BZ61" i="18523"/>
  <c r="BZ60" i="18523"/>
  <c r="BY63" i="18523"/>
  <c r="BZ43" i="18523"/>
  <c r="BZ45" i="18523" s="1"/>
  <c r="BZ51" i="18523" s="1"/>
  <c r="BZ73" i="18523"/>
  <c r="BZ80" i="18523"/>
  <c r="BZ84" i="18523"/>
  <c r="BY73" i="18523"/>
  <c r="BH47" i="18516"/>
  <c r="BH51" i="18516"/>
  <c r="BI84" i="18516"/>
  <c r="BH63" i="18516"/>
  <c r="BF61" i="18516"/>
  <c r="BG73" i="18516"/>
  <c r="BG61" i="18516"/>
  <c r="BG47" i="18516"/>
  <c r="BG51" i="18516"/>
  <c r="BG74" i="18516"/>
  <c r="BG80" i="18516"/>
  <c r="BF69" i="18516"/>
  <c r="BG79" i="18516"/>
  <c r="BG60" i="18516"/>
  <c r="BG78" i="18516"/>
  <c r="BF43" i="18516"/>
  <c r="BF45" i="18516" s="1"/>
  <c r="BG33" i="18516"/>
  <c r="BG49" i="18516" s="1"/>
  <c r="BF66" i="18516"/>
  <c r="BG65" i="18516"/>
  <c r="BF65" i="18516"/>
  <c r="BF33" i="18516"/>
  <c r="BF49" i="18516" s="1"/>
  <c r="BG84" i="18516"/>
  <c r="BF63" i="18516"/>
  <c r="BF71" i="18516"/>
  <c r="BG63" i="18516"/>
  <c r="BG71" i="18516"/>
  <c r="BG69" i="18516"/>
  <c r="CR47" i="18517"/>
  <c r="CR51" i="18517"/>
  <c r="CR74" i="18517"/>
  <c r="CH84" i="18517"/>
  <c r="CL79" i="18517"/>
  <c r="CQ84" i="18517"/>
  <c r="CS40" i="18517"/>
  <c r="CP73" i="18517"/>
  <c r="CQ66" i="18517"/>
  <c r="CN61" i="18517"/>
  <c r="CN78" i="18517"/>
  <c r="CN33" i="18517"/>
  <c r="CN49" i="18517" s="1"/>
  <c r="CQ71" i="18517"/>
  <c r="CN71" i="18517"/>
  <c r="CN66" i="18517"/>
  <c r="CM60" i="18517"/>
  <c r="CR73" i="18517"/>
  <c r="CR63" i="18517"/>
  <c r="CR33" i="18517"/>
  <c r="CR49" i="18517" s="1"/>
  <c r="CL63" i="18517"/>
  <c r="CM71" i="18517"/>
  <c r="CM66" i="18517"/>
  <c r="CG66" i="18517"/>
  <c r="CG43" i="18517"/>
  <c r="CG45" i="18517" s="1"/>
  <c r="CG51" i="18517" s="1"/>
  <c r="CG71" i="18517"/>
  <c r="CK63" i="18517"/>
  <c r="CQ69" i="18517"/>
  <c r="CQ65" i="18517"/>
  <c r="CK65" i="18517"/>
  <c r="CF71" i="18517"/>
  <c r="CP69" i="18517"/>
  <c r="CN65" i="18517"/>
  <c r="CS61" i="18517"/>
  <c r="CN79" i="18517"/>
  <c r="CN69" i="18517"/>
  <c r="CM65" i="18517"/>
  <c r="CQ33" i="18517"/>
  <c r="CQ49" i="18517" s="1"/>
  <c r="CP33" i="18517"/>
  <c r="CP49" i="18517" s="1"/>
  <c r="CP51" i="18517"/>
  <c r="CP74" i="18517"/>
  <c r="CP47" i="18517"/>
  <c r="CM51" i="18517"/>
  <c r="CM74" i="18517"/>
  <c r="CM47" i="18517"/>
  <c r="CJ79" i="18517"/>
  <c r="CQ79" i="18517"/>
  <c r="CQ73" i="18517"/>
  <c r="CQ63" i="18517"/>
  <c r="CQ60" i="18517"/>
  <c r="CQ43" i="18517"/>
  <c r="CQ45" i="18517" s="1"/>
  <c r="CH63" i="18517"/>
  <c r="CN73" i="18517"/>
  <c r="CN63" i="18517"/>
  <c r="CN43" i="18517"/>
  <c r="CN45" i="18517" s="1"/>
  <c r="CG33" i="18517"/>
  <c r="CG49" i="18517" s="1"/>
  <c r="CH73" i="18517"/>
  <c r="CP71" i="18517"/>
  <c r="CQ61" i="18517"/>
  <c r="CE71" i="18517"/>
  <c r="CP65" i="18517"/>
  <c r="CP61" i="18517"/>
  <c r="CM61" i="18517"/>
  <c r="CF62" i="18517"/>
  <c r="CB69" i="18517"/>
  <c r="CJ63" i="18517"/>
  <c r="CI43" i="18517"/>
  <c r="CI45" i="18517" s="1"/>
  <c r="CI51" i="18517" s="1"/>
  <c r="CI73" i="18517"/>
  <c r="CJ60" i="18517"/>
  <c r="CJ66" i="18517"/>
  <c r="CF78" i="18517"/>
  <c r="CB78" i="18517"/>
  <c r="CG62" i="18517"/>
  <c r="CB80" i="18517"/>
  <c r="CK66" i="18517"/>
  <c r="CB66" i="18517"/>
  <c r="CF33" i="18517"/>
  <c r="CF49" i="18517" s="1"/>
  <c r="CH80" i="18517"/>
  <c r="CK43" i="18517"/>
  <c r="CK45" i="18517" s="1"/>
  <c r="CK47" i="18517" s="1"/>
  <c r="CC33" i="18517"/>
  <c r="CC49" i="18517" s="1"/>
  <c r="CF80" i="18517"/>
  <c r="CK69" i="18517"/>
  <c r="CJ69" i="18517"/>
  <c r="CB63" i="18517"/>
  <c r="CE43" i="18517"/>
  <c r="CE45" i="18517" s="1"/>
  <c r="CE74" i="18517" s="1"/>
  <c r="CD84" i="18517"/>
  <c r="CD83" i="18517"/>
  <c r="CL43" i="18517"/>
  <c r="CL45" i="18517" s="1"/>
  <c r="CL51" i="18517" s="1"/>
  <c r="CE33" i="18517"/>
  <c r="CE49" i="18517" s="1"/>
  <c r="CA71" i="18517"/>
  <c r="CD78" i="18517"/>
  <c r="CD33" i="18517"/>
  <c r="CD49" i="18517" s="1"/>
  <c r="CF83" i="18517"/>
  <c r="CL65" i="18517"/>
  <c r="CA66" i="18517"/>
  <c r="CB33" i="18517"/>
  <c r="CB49" i="18517" s="1"/>
  <c r="CB65" i="18517"/>
  <c r="CA33" i="18517"/>
  <c r="CA49" i="18517" s="1"/>
  <c r="CH71" i="18517"/>
  <c r="CF63" i="18517"/>
  <c r="CI63" i="18517"/>
  <c r="CB79" i="18517"/>
  <c r="CA69" i="18517"/>
  <c r="CA65" i="18517"/>
  <c r="CJ43" i="18517"/>
  <c r="CJ45" i="18517" s="1"/>
  <c r="CJ47" i="18517" s="1"/>
  <c r="CH33" i="18517"/>
  <c r="CH49" i="18517" s="1"/>
  <c r="CB62" i="18517"/>
  <c r="CA61" i="18517"/>
  <c r="CB84" i="18517"/>
  <c r="CL78" i="18517"/>
  <c r="CL69" i="18517"/>
  <c r="CJ65" i="18517"/>
  <c r="CD61" i="18517"/>
  <c r="CB60" i="18517"/>
  <c r="CA43" i="18517"/>
  <c r="CA45" i="18517" s="1"/>
  <c r="CA51" i="18517" s="1"/>
  <c r="CL73" i="18517"/>
  <c r="CI65" i="18517"/>
  <c r="CB71" i="18517"/>
  <c r="CK73" i="18517"/>
  <c r="CL66" i="18517"/>
  <c r="CJ73" i="18517"/>
  <c r="CI69" i="18517"/>
  <c r="CI60" i="18517"/>
  <c r="CF43" i="18517"/>
  <c r="CF45" i="18517" s="1"/>
  <c r="CF51" i="18517" s="1"/>
  <c r="CD69" i="18517"/>
  <c r="CD65" i="18517"/>
  <c r="CL84" i="18517"/>
  <c r="CH69" i="18517"/>
  <c r="CH60" i="18517"/>
  <c r="CK33" i="18517"/>
  <c r="CK49" i="18517" s="1"/>
  <c r="CC69" i="18517"/>
  <c r="CC65" i="18517"/>
  <c r="CF69" i="18517"/>
  <c r="CF60" i="18517"/>
  <c r="CH51" i="18517"/>
  <c r="CH74" i="18517"/>
  <c r="CH47" i="18517"/>
  <c r="CH79" i="18517"/>
  <c r="CL61" i="18517"/>
  <c r="CL33" i="18517"/>
  <c r="CL49" i="18517" s="1"/>
  <c r="CG63" i="18517"/>
  <c r="CK61" i="18517"/>
  <c r="CG60" i="18517"/>
  <c r="CJ61" i="18517"/>
  <c r="CJ33" i="18517"/>
  <c r="CJ49" i="18517" s="1"/>
  <c r="CF84" i="18517"/>
  <c r="CE73" i="18517"/>
  <c r="CE63" i="18517"/>
  <c r="CI61" i="18517"/>
  <c r="CE60" i="18517"/>
  <c r="CI33" i="18517"/>
  <c r="CI49" i="18517" s="1"/>
  <c r="CL80" i="18517"/>
  <c r="CL71" i="18517"/>
  <c r="CH65" i="18517"/>
  <c r="CH61" i="18517"/>
  <c r="CJ80" i="18517"/>
  <c r="CK71" i="18517"/>
  <c r="CG69" i="18517"/>
  <c r="CG65" i="18517"/>
  <c r="CG61" i="18517"/>
  <c r="CJ71" i="18517"/>
  <c r="CF65" i="18517"/>
  <c r="CF61" i="18517"/>
  <c r="CI71" i="18517"/>
  <c r="CE69" i="18517"/>
  <c r="CE65" i="18517"/>
  <c r="CE61" i="18517"/>
  <c r="CC47" i="18517"/>
  <c r="CC74" i="18517"/>
  <c r="CC51" i="18517"/>
  <c r="CC61" i="18517"/>
  <c r="CB61" i="18517"/>
  <c r="CD79" i="18517"/>
  <c r="CD73" i="18517"/>
  <c r="CD63" i="18517"/>
  <c r="CD60" i="18517"/>
  <c r="CD43" i="18517"/>
  <c r="CD45" i="18517" s="1"/>
  <c r="CD80" i="18517"/>
  <c r="CC73" i="18517"/>
  <c r="CC63" i="18517"/>
  <c r="CC60" i="18517"/>
  <c r="CB73" i="18517"/>
  <c r="CB43" i="18517"/>
  <c r="CB45" i="18517" s="1"/>
  <c r="CA73" i="18517"/>
  <c r="CA63" i="18517"/>
  <c r="CA60" i="18517"/>
  <c r="CD71" i="18517"/>
  <c r="CC71" i="18517"/>
  <c r="BI41" i="18514"/>
  <c r="BH41" i="18514"/>
  <c r="BI58" i="18514"/>
  <c r="BH58" i="18514"/>
  <c r="BI83" i="18514"/>
  <c r="BI82" i="18514"/>
  <c r="BI81" i="18514"/>
  <c r="BI68" i="18514"/>
  <c r="BH68" i="18514"/>
  <c r="BI40" i="18514"/>
  <c r="BI73" i="18514" s="1"/>
  <c r="BH40" i="18514"/>
  <c r="BH73" i="18514" s="1"/>
  <c r="BI32" i="18514"/>
  <c r="BI62" i="18514" s="1"/>
  <c r="BH32" i="18514"/>
  <c r="BH62" i="18514" s="1"/>
  <c r="BH16" i="18514"/>
  <c r="BI12" i="18514"/>
  <c r="BI66" i="18514" s="1"/>
  <c r="BH12" i="18514"/>
  <c r="BH66" i="18514" s="1"/>
  <c r="BC83" i="18518"/>
  <c r="BZ42" i="18517"/>
  <c r="BY42" i="18517"/>
  <c r="BZ39" i="18517"/>
  <c r="BY39" i="18517"/>
  <c r="BZ11" i="18517"/>
  <c r="BZ68" i="18517" s="1"/>
  <c r="BY11" i="18517"/>
  <c r="BY68" i="18517" s="1"/>
  <c r="BE83" i="18516"/>
  <c r="BE82" i="18516"/>
  <c r="BE81" i="18516"/>
  <c r="BE76" i="18516"/>
  <c r="BD76" i="18516"/>
  <c r="BE68" i="18516"/>
  <c r="BD68" i="18516"/>
  <c r="BE58" i="18516"/>
  <c r="BD58" i="18516"/>
  <c r="BE40" i="18516"/>
  <c r="BE73" i="18516" s="1"/>
  <c r="BD40" i="18516"/>
  <c r="BD73" i="18516" s="1"/>
  <c r="BE32" i="18516"/>
  <c r="BE62" i="18516" s="1"/>
  <c r="BD32" i="18516"/>
  <c r="BE16" i="18516"/>
  <c r="BD16" i="18516"/>
  <c r="BE12" i="18516"/>
  <c r="BE66" i="18516" s="1"/>
  <c r="BD12" i="18516"/>
  <c r="BD66" i="18516" s="1"/>
  <c r="BG83" i="18514"/>
  <c r="BE83" i="18514"/>
  <c r="BC83" i="18514"/>
  <c r="BA83" i="18514"/>
  <c r="AY83" i="18514"/>
  <c r="AW83" i="18514"/>
  <c r="AU83" i="18514"/>
  <c r="AO83" i="18514"/>
  <c r="AM83" i="18514"/>
  <c r="AI83" i="18514"/>
  <c r="AG83" i="18514"/>
  <c r="AC83" i="18514"/>
  <c r="Y83" i="18514"/>
  <c r="W83" i="18514"/>
  <c r="S83" i="18514"/>
  <c r="K83" i="18514"/>
  <c r="G83" i="18514"/>
  <c r="E83" i="18514"/>
  <c r="C83" i="18514"/>
  <c r="BG82" i="18514"/>
  <c r="BE82" i="18514"/>
  <c r="BC82" i="18514"/>
  <c r="BA82" i="18514"/>
  <c r="AY82" i="18514"/>
  <c r="AW82" i="18514"/>
  <c r="AU82" i="18514"/>
  <c r="AS82" i="18514"/>
  <c r="AQ82" i="18514"/>
  <c r="AO82" i="18514"/>
  <c r="AM82" i="18514"/>
  <c r="AK82" i="18514"/>
  <c r="AI82" i="18514"/>
  <c r="AG82" i="18514"/>
  <c r="AE82" i="18514"/>
  <c r="AC82" i="18514"/>
  <c r="AA82" i="18514"/>
  <c r="Y82" i="18514"/>
  <c r="W82" i="18514"/>
  <c r="U82" i="18514"/>
  <c r="S82" i="18514"/>
  <c r="Q82" i="18514"/>
  <c r="O82" i="18514"/>
  <c r="M82" i="18514"/>
  <c r="K82" i="18514"/>
  <c r="I82" i="18514"/>
  <c r="G82" i="18514"/>
  <c r="C82" i="18514"/>
  <c r="BG81" i="18514"/>
  <c r="BE81" i="18514"/>
  <c r="BC81" i="18514"/>
  <c r="BA81" i="18514"/>
  <c r="AY81" i="18514"/>
  <c r="AW81" i="18514"/>
  <c r="AU81" i="18514"/>
  <c r="AS81" i="18514"/>
  <c r="AQ81" i="18514"/>
  <c r="AO81" i="18514"/>
  <c r="AM81" i="18514"/>
  <c r="AK81" i="18514"/>
  <c r="AI81" i="18514"/>
  <c r="AG81" i="18514"/>
  <c r="AE81" i="18514"/>
  <c r="AA81" i="18514"/>
  <c r="Y81" i="18514"/>
  <c r="W81" i="18514"/>
  <c r="U81" i="18514"/>
  <c r="S81" i="18514"/>
  <c r="Q81" i="18514"/>
  <c r="O81" i="18514"/>
  <c r="M81" i="18514"/>
  <c r="K81" i="18514"/>
  <c r="I81" i="18514"/>
  <c r="G81" i="18514"/>
  <c r="E81" i="18514"/>
  <c r="C81" i="18514"/>
  <c r="BG68" i="18514"/>
  <c r="BF68" i="18514"/>
  <c r="BE68" i="18514"/>
  <c r="BD68" i="18514"/>
  <c r="BC68" i="18514"/>
  <c r="BB68" i="18514"/>
  <c r="BA68" i="18514"/>
  <c r="AZ68" i="18514"/>
  <c r="AY68" i="18514"/>
  <c r="AX68" i="18514"/>
  <c r="AW68" i="18514"/>
  <c r="AV68" i="18514"/>
  <c r="AU68" i="18514"/>
  <c r="AT68" i="18514"/>
  <c r="AS68" i="18514"/>
  <c r="AR68" i="18514"/>
  <c r="AQ68" i="18514"/>
  <c r="AP68" i="18514"/>
  <c r="AO68" i="18514"/>
  <c r="AN68" i="18514"/>
  <c r="AM68" i="18514"/>
  <c r="AL68" i="18514"/>
  <c r="AK68" i="18514"/>
  <c r="AJ68" i="18514"/>
  <c r="AI68" i="18514"/>
  <c r="AH68" i="18514"/>
  <c r="AG68" i="18514"/>
  <c r="AF68" i="18514"/>
  <c r="AE68" i="18514"/>
  <c r="AD68" i="18514"/>
  <c r="AC68" i="18514"/>
  <c r="AB68" i="18514"/>
  <c r="AA68" i="18514"/>
  <c r="Z68" i="18514"/>
  <c r="Y68" i="18514"/>
  <c r="X68" i="18514"/>
  <c r="W68" i="18514"/>
  <c r="V68" i="18514"/>
  <c r="U68" i="18514"/>
  <c r="T68" i="18514"/>
  <c r="S68" i="18514"/>
  <c r="R68" i="18514"/>
  <c r="Q68" i="18514"/>
  <c r="P68" i="18514"/>
  <c r="O68" i="18514"/>
  <c r="N68" i="18514"/>
  <c r="K68" i="18514"/>
  <c r="J68" i="18514"/>
  <c r="I68" i="18514"/>
  <c r="H68" i="18514"/>
  <c r="G68" i="18514"/>
  <c r="F68" i="18514"/>
  <c r="E68" i="18514"/>
  <c r="D68" i="18514"/>
  <c r="C68" i="18514"/>
  <c r="B68" i="18514"/>
  <c r="BG58" i="18514"/>
  <c r="BF58" i="18514"/>
  <c r="BE58" i="18514"/>
  <c r="BD58" i="18514"/>
  <c r="BC58" i="18514"/>
  <c r="BB58" i="18514"/>
  <c r="BA58" i="18514"/>
  <c r="AZ58" i="18514"/>
  <c r="AY58" i="18514"/>
  <c r="AX58" i="18514"/>
  <c r="AW58" i="18514"/>
  <c r="AV58" i="18514"/>
  <c r="AU58" i="18514"/>
  <c r="AT58" i="18514"/>
  <c r="AS58" i="18514"/>
  <c r="AR58" i="18514"/>
  <c r="AQ58" i="18514"/>
  <c r="AP58" i="18514"/>
  <c r="AO58" i="18514"/>
  <c r="AN58" i="18514"/>
  <c r="AM58" i="18514"/>
  <c r="AL58" i="18514"/>
  <c r="AK58" i="18514"/>
  <c r="AJ58" i="18514"/>
  <c r="AI58" i="18514"/>
  <c r="AH58" i="18514"/>
  <c r="AG58" i="18514"/>
  <c r="AF58" i="18514"/>
  <c r="AE58" i="18514"/>
  <c r="AD58" i="18514"/>
  <c r="AC58" i="18514"/>
  <c r="AB58" i="18514"/>
  <c r="AA58" i="18514"/>
  <c r="Z58" i="18514"/>
  <c r="Y58" i="18514"/>
  <c r="X58" i="18514"/>
  <c r="W58" i="18514"/>
  <c r="V58" i="18514"/>
  <c r="U58" i="18514"/>
  <c r="T58" i="18514"/>
  <c r="S58" i="18514"/>
  <c r="R58" i="18514"/>
  <c r="Q58" i="18514"/>
  <c r="P58" i="18514"/>
  <c r="O58" i="18514"/>
  <c r="N58" i="18514"/>
  <c r="K58" i="18514"/>
  <c r="J58" i="18514"/>
  <c r="I58" i="18514"/>
  <c r="H58" i="18514"/>
  <c r="G58" i="18514"/>
  <c r="F58" i="18514"/>
  <c r="E58" i="18514"/>
  <c r="D58" i="18514"/>
  <c r="C58" i="18514"/>
  <c r="B58" i="18514"/>
  <c r="O84" i="18519"/>
  <c r="M84" i="18519"/>
  <c r="K84" i="18519"/>
  <c r="I84" i="18519"/>
  <c r="G84" i="18519"/>
  <c r="E84" i="18519"/>
  <c r="C84" i="18519"/>
  <c r="O83" i="18519"/>
  <c r="M83" i="18519"/>
  <c r="K83" i="18519"/>
  <c r="I83" i="18519"/>
  <c r="G83" i="18519"/>
  <c r="E83" i="18519"/>
  <c r="C83" i="18519"/>
  <c r="O82" i="18519"/>
  <c r="M82" i="18519"/>
  <c r="K82" i="18519"/>
  <c r="I82" i="18519"/>
  <c r="G82" i="18519"/>
  <c r="E82" i="18519"/>
  <c r="C82" i="18519"/>
  <c r="O81" i="18519"/>
  <c r="M81" i="18519"/>
  <c r="K81" i="18519"/>
  <c r="I81" i="18519"/>
  <c r="G81" i="18519"/>
  <c r="E81" i="18519"/>
  <c r="C81" i="18519"/>
  <c r="O80" i="18519"/>
  <c r="M80" i="18519"/>
  <c r="K80" i="18519"/>
  <c r="I80" i="18519"/>
  <c r="G80" i="18519"/>
  <c r="E80" i="18519"/>
  <c r="C80" i="18519"/>
  <c r="O79" i="18519"/>
  <c r="M79" i="18519"/>
  <c r="K79" i="18519"/>
  <c r="I79" i="18519"/>
  <c r="G79" i="18519"/>
  <c r="E79" i="18519"/>
  <c r="C79" i="18519"/>
  <c r="O78" i="18519"/>
  <c r="M78" i="18519"/>
  <c r="K78" i="18519"/>
  <c r="I78" i="18519"/>
  <c r="G78" i="18519"/>
  <c r="E78" i="18519"/>
  <c r="C78" i="18519"/>
  <c r="O74" i="18519"/>
  <c r="N74" i="18519"/>
  <c r="M74" i="18519"/>
  <c r="L74" i="18519"/>
  <c r="K74" i="18519"/>
  <c r="J74" i="18519"/>
  <c r="I74" i="18519"/>
  <c r="H74" i="18519"/>
  <c r="G74" i="18519"/>
  <c r="F74" i="18519"/>
  <c r="E74" i="18519"/>
  <c r="D74" i="18519"/>
  <c r="C74" i="18519"/>
  <c r="B74" i="18519"/>
  <c r="O73" i="18519"/>
  <c r="N73" i="18519"/>
  <c r="M73" i="18519"/>
  <c r="L73" i="18519"/>
  <c r="K73" i="18519"/>
  <c r="J73" i="18519"/>
  <c r="I73" i="18519"/>
  <c r="H73" i="18519"/>
  <c r="G73" i="18519"/>
  <c r="F73" i="18519"/>
  <c r="E73" i="18519"/>
  <c r="D73" i="18519"/>
  <c r="C73" i="18519"/>
  <c r="B73" i="18519"/>
  <c r="O71" i="18519"/>
  <c r="N71" i="18519"/>
  <c r="M71" i="18519"/>
  <c r="L71" i="18519"/>
  <c r="K71" i="18519"/>
  <c r="J71" i="18519"/>
  <c r="I71" i="18519"/>
  <c r="H71" i="18519"/>
  <c r="G71" i="18519"/>
  <c r="F71" i="18519"/>
  <c r="E71" i="18519"/>
  <c r="D71" i="18519"/>
  <c r="C71" i="18519"/>
  <c r="B71" i="18519"/>
  <c r="O69" i="18519"/>
  <c r="N69" i="18519"/>
  <c r="M69" i="18519"/>
  <c r="L69" i="18519"/>
  <c r="K69" i="18519"/>
  <c r="J69" i="18519"/>
  <c r="I69" i="18519"/>
  <c r="H69" i="18519"/>
  <c r="G69" i="18519"/>
  <c r="F69" i="18519"/>
  <c r="E69" i="18519"/>
  <c r="D69" i="18519"/>
  <c r="C69" i="18519"/>
  <c r="B69" i="18519"/>
  <c r="O68" i="18519"/>
  <c r="N68" i="18519"/>
  <c r="M68" i="18519"/>
  <c r="L68" i="18519"/>
  <c r="K68" i="18519"/>
  <c r="J68" i="18519"/>
  <c r="I68" i="18519"/>
  <c r="H68" i="18519"/>
  <c r="G68" i="18519"/>
  <c r="F68" i="18519"/>
  <c r="E68" i="18519"/>
  <c r="D68" i="18519"/>
  <c r="C68" i="18519"/>
  <c r="B68" i="18519"/>
  <c r="O66" i="18519"/>
  <c r="N66" i="18519"/>
  <c r="M66" i="18519"/>
  <c r="L66" i="18519"/>
  <c r="K66" i="18519"/>
  <c r="J66" i="18519"/>
  <c r="I66" i="18519"/>
  <c r="H66" i="18519"/>
  <c r="G66" i="18519"/>
  <c r="F66" i="18519"/>
  <c r="E66" i="18519"/>
  <c r="D66" i="18519"/>
  <c r="C66" i="18519"/>
  <c r="B66" i="18519"/>
  <c r="O65" i="18519"/>
  <c r="N65" i="18519"/>
  <c r="M65" i="18519"/>
  <c r="L65" i="18519"/>
  <c r="K65" i="18519"/>
  <c r="J65" i="18519"/>
  <c r="I65" i="18519"/>
  <c r="H65" i="18519"/>
  <c r="G65" i="18519"/>
  <c r="F65" i="18519"/>
  <c r="E65" i="18519"/>
  <c r="D65" i="18519"/>
  <c r="C65" i="18519"/>
  <c r="B65" i="18519"/>
  <c r="O63" i="18519"/>
  <c r="N63" i="18519"/>
  <c r="M63" i="18519"/>
  <c r="L63" i="18519"/>
  <c r="K63" i="18519"/>
  <c r="J63" i="18519"/>
  <c r="I63" i="18519"/>
  <c r="H63" i="18519"/>
  <c r="G63" i="18519"/>
  <c r="F63" i="18519"/>
  <c r="E63" i="18519"/>
  <c r="D63" i="18519"/>
  <c r="C63" i="18519"/>
  <c r="B63" i="18519"/>
  <c r="O62" i="18519"/>
  <c r="N62" i="18519"/>
  <c r="M62" i="18519"/>
  <c r="L62" i="18519"/>
  <c r="K62" i="18519"/>
  <c r="J62" i="18519"/>
  <c r="I62" i="18519"/>
  <c r="H62" i="18519"/>
  <c r="G62" i="18519"/>
  <c r="F62" i="18519"/>
  <c r="E62" i="18519"/>
  <c r="D62" i="18519"/>
  <c r="C62" i="18519"/>
  <c r="B62" i="18519"/>
  <c r="O61" i="18519"/>
  <c r="N61" i="18519"/>
  <c r="M61" i="18519"/>
  <c r="L61" i="18519"/>
  <c r="K61" i="18519"/>
  <c r="J61" i="18519"/>
  <c r="I61" i="18519"/>
  <c r="H61" i="18519"/>
  <c r="G61" i="18519"/>
  <c r="F61" i="18519"/>
  <c r="E61" i="18519"/>
  <c r="D61" i="18519"/>
  <c r="C61" i="18519"/>
  <c r="B61" i="18519"/>
  <c r="O60" i="18519"/>
  <c r="N60" i="18519"/>
  <c r="M60" i="18519"/>
  <c r="L60" i="18519"/>
  <c r="K60" i="18519"/>
  <c r="J60" i="18519"/>
  <c r="I60" i="18519"/>
  <c r="H60" i="18519"/>
  <c r="G60" i="18519"/>
  <c r="F60" i="18519"/>
  <c r="E60" i="18519"/>
  <c r="D60" i="18519"/>
  <c r="C60" i="18519"/>
  <c r="B60" i="18519"/>
  <c r="O58" i="18519"/>
  <c r="N58" i="18519"/>
  <c r="M58" i="18519"/>
  <c r="L58" i="18519"/>
  <c r="K58" i="18519"/>
  <c r="J58" i="18519"/>
  <c r="I58" i="18519"/>
  <c r="H58" i="18519"/>
  <c r="G58" i="18519"/>
  <c r="F58" i="18519"/>
  <c r="E58" i="18519"/>
  <c r="D58" i="18519"/>
  <c r="C58" i="18519"/>
  <c r="B58" i="18519"/>
  <c r="BC83" i="18516"/>
  <c r="AY83" i="18516"/>
  <c r="AW83" i="18516"/>
  <c r="AU83" i="18516"/>
  <c r="AS83" i="18516"/>
  <c r="AQ83" i="18516"/>
  <c r="AO83" i="18516"/>
  <c r="AE83" i="18516"/>
  <c r="AC83" i="18516"/>
  <c r="AA83" i="18516"/>
  <c r="Y83" i="18516"/>
  <c r="W83" i="18516"/>
  <c r="U83" i="18516"/>
  <c r="S83" i="18516"/>
  <c r="Q83" i="18516"/>
  <c r="M83" i="18516"/>
  <c r="K83" i="18516"/>
  <c r="I83" i="18516"/>
  <c r="G83" i="18516"/>
  <c r="E83" i="18516"/>
  <c r="C83" i="18516"/>
  <c r="BC82" i="18516"/>
  <c r="BA82" i="18516"/>
  <c r="AY82" i="18516"/>
  <c r="AW82" i="18516"/>
  <c r="AU82" i="18516"/>
  <c r="AS82" i="18516"/>
  <c r="AQ82" i="18516"/>
  <c r="AO82" i="18516"/>
  <c r="AM82" i="18516"/>
  <c r="AK82" i="18516"/>
  <c r="AI82" i="18516"/>
  <c r="AG82" i="18516"/>
  <c r="AE82" i="18516"/>
  <c r="AC82" i="18516"/>
  <c r="AA82" i="18516"/>
  <c r="Y82" i="18516"/>
  <c r="W82" i="18516"/>
  <c r="U82" i="18516"/>
  <c r="S82" i="18516"/>
  <c r="Q82" i="18516"/>
  <c r="O82" i="18516"/>
  <c r="M82" i="18516"/>
  <c r="K82" i="18516"/>
  <c r="I82" i="18516"/>
  <c r="G82" i="18516"/>
  <c r="E82" i="18516"/>
  <c r="C82" i="18516"/>
  <c r="BC81" i="18516"/>
  <c r="BA81" i="18516"/>
  <c r="AY81" i="18516"/>
  <c r="AW81" i="18516"/>
  <c r="AU81" i="18516"/>
  <c r="AS81" i="18516"/>
  <c r="AQ81" i="18516"/>
  <c r="AO81" i="18516"/>
  <c r="AM81" i="18516"/>
  <c r="AK81" i="18516"/>
  <c r="AI81" i="18516"/>
  <c r="AG81" i="18516"/>
  <c r="AE81" i="18516"/>
  <c r="AC81" i="18516"/>
  <c r="AA81" i="18516"/>
  <c r="Y81" i="18516"/>
  <c r="W81" i="18516"/>
  <c r="U81" i="18516"/>
  <c r="S81" i="18516"/>
  <c r="Q81" i="18516"/>
  <c r="O81" i="18516"/>
  <c r="I81" i="18516"/>
  <c r="G81" i="18516"/>
  <c r="E81" i="18516"/>
  <c r="C81" i="18516"/>
  <c r="BC68" i="18516"/>
  <c r="BB68" i="18516"/>
  <c r="AY68" i="18516"/>
  <c r="AX68" i="18516"/>
  <c r="AW68" i="18516"/>
  <c r="AV68" i="18516"/>
  <c r="AU68" i="18516"/>
  <c r="AT68" i="18516"/>
  <c r="AS68" i="18516"/>
  <c r="AR68" i="18516"/>
  <c r="AQ68" i="18516"/>
  <c r="AP68" i="18516"/>
  <c r="AO68" i="18516"/>
  <c r="AN68" i="18516"/>
  <c r="AM68" i="18516"/>
  <c r="AL68" i="18516"/>
  <c r="AK68" i="18516"/>
  <c r="AJ68" i="18516"/>
  <c r="AI68" i="18516"/>
  <c r="AH68" i="18516"/>
  <c r="AG68" i="18516"/>
  <c r="AF68" i="18516"/>
  <c r="AE68" i="18516"/>
  <c r="AD68" i="18516"/>
  <c r="AC68" i="18516"/>
  <c r="AB68" i="18516"/>
  <c r="AA68" i="18516"/>
  <c r="Z68" i="18516"/>
  <c r="Y68" i="18516"/>
  <c r="X68" i="18516"/>
  <c r="W68" i="18516"/>
  <c r="V68" i="18516"/>
  <c r="U68" i="18516"/>
  <c r="T68" i="18516"/>
  <c r="S68" i="18516"/>
  <c r="R68" i="18516"/>
  <c r="Q68" i="18516"/>
  <c r="P68" i="18516"/>
  <c r="O68" i="18516"/>
  <c r="N68" i="18516"/>
  <c r="M68" i="18516"/>
  <c r="L68" i="18516"/>
  <c r="K68" i="18516"/>
  <c r="J68" i="18516"/>
  <c r="I68" i="18516"/>
  <c r="H68" i="18516"/>
  <c r="G68" i="18516"/>
  <c r="F68" i="18516"/>
  <c r="E68" i="18516"/>
  <c r="D68" i="18516"/>
  <c r="C68" i="18516"/>
  <c r="B68" i="18516"/>
  <c r="BC58" i="18516"/>
  <c r="BB58" i="18516"/>
  <c r="AY58" i="18516"/>
  <c r="AX58" i="18516"/>
  <c r="AW58" i="18516"/>
  <c r="AV58" i="18516"/>
  <c r="AU58" i="18516"/>
  <c r="AT58" i="18516"/>
  <c r="AS58" i="18516"/>
  <c r="AR58" i="18516"/>
  <c r="AQ58" i="18516"/>
  <c r="AP58" i="18516"/>
  <c r="AO58" i="18516"/>
  <c r="AN58" i="18516"/>
  <c r="AM58" i="18516"/>
  <c r="AL58" i="18516"/>
  <c r="AK58" i="18516"/>
  <c r="AJ58" i="18516"/>
  <c r="AI58" i="18516"/>
  <c r="AH58" i="18516"/>
  <c r="AG58" i="18516"/>
  <c r="AF58" i="18516"/>
  <c r="AE58" i="18516"/>
  <c r="AD58" i="18516"/>
  <c r="AC58" i="18516"/>
  <c r="AB58" i="18516"/>
  <c r="AA58" i="18516"/>
  <c r="Z58" i="18516"/>
  <c r="Y58" i="18516"/>
  <c r="X58" i="18516"/>
  <c r="W58" i="18516"/>
  <c r="V58" i="18516"/>
  <c r="U58" i="18516"/>
  <c r="T58" i="18516"/>
  <c r="S58" i="18516"/>
  <c r="R58" i="18516"/>
  <c r="Q58" i="18516"/>
  <c r="P58" i="18516"/>
  <c r="O58" i="18516"/>
  <c r="N58" i="18516"/>
  <c r="M58" i="18516"/>
  <c r="L58" i="18516"/>
  <c r="K58" i="18516"/>
  <c r="J58" i="18516"/>
  <c r="I58" i="18516"/>
  <c r="H58" i="18516"/>
  <c r="G58" i="18516"/>
  <c r="F58" i="18516"/>
  <c r="E58" i="18516"/>
  <c r="D58" i="18516"/>
  <c r="C58" i="18516"/>
  <c r="B58" i="18516"/>
  <c r="BC84" i="18518"/>
  <c r="BA84" i="18518"/>
  <c r="AY84" i="18518"/>
  <c r="AU84" i="18518"/>
  <c r="AS84" i="18518"/>
  <c r="AQ84" i="18518"/>
  <c r="AO84" i="18518"/>
  <c r="AM84" i="18518"/>
  <c r="AG84" i="18518"/>
  <c r="AC84" i="18518"/>
  <c r="W84" i="18518"/>
  <c r="U84" i="18518"/>
  <c r="S84" i="18518"/>
  <c r="Q84" i="18518"/>
  <c r="O84" i="18518"/>
  <c r="M84" i="18518"/>
  <c r="K84" i="18518"/>
  <c r="E84" i="18518"/>
  <c r="BA83" i="18518"/>
  <c r="AW83" i="18518"/>
  <c r="AU83" i="18518"/>
  <c r="AS83" i="18518"/>
  <c r="AQ83" i="18518"/>
  <c r="AO83" i="18518"/>
  <c r="AK83" i="18518"/>
  <c r="AI83" i="18518"/>
  <c r="AG83" i="18518"/>
  <c r="AE83" i="18518"/>
  <c r="AC83" i="18518"/>
  <c r="AA83" i="18518"/>
  <c r="Y83" i="18518"/>
  <c r="W83" i="18518"/>
  <c r="U83" i="18518"/>
  <c r="S83" i="18518"/>
  <c r="Q83" i="18518"/>
  <c r="O83" i="18518"/>
  <c r="M83" i="18518"/>
  <c r="K83" i="18518"/>
  <c r="I83" i="18518"/>
  <c r="G83" i="18518"/>
  <c r="E83" i="18518"/>
  <c r="C83" i="18518"/>
  <c r="BC82" i="18518"/>
  <c r="BA82" i="18518"/>
  <c r="AY82" i="18518"/>
  <c r="AW82" i="18518"/>
  <c r="AU82" i="18518"/>
  <c r="AS82" i="18518"/>
  <c r="AQ82" i="18518"/>
  <c r="AO82" i="18518"/>
  <c r="AM82" i="18518"/>
  <c r="AK82" i="18518"/>
  <c r="AI82" i="18518"/>
  <c r="AG82" i="18518"/>
  <c r="AE82" i="18518"/>
  <c r="AC82" i="18518"/>
  <c r="AA82" i="18518"/>
  <c r="Y82" i="18518"/>
  <c r="W82" i="18518"/>
  <c r="U82" i="18518"/>
  <c r="S82" i="18518"/>
  <c r="Q82" i="18518"/>
  <c r="O82" i="18518"/>
  <c r="M82" i="18518"/>
  <c r="K82" i="18518"/>
  <c r="I82" i="18518"/>
  <c r="G82" i="18518"/>
  <c r="E82" i="18518"/>
  <c r="C82" i="18518"/>
  <c r="BC69" i="18518"/>
  <c r="BB69" i="18518"/>
  <c r="BA69" i="18518"/>
  <c r="AZ69" i="18518"/>
  <c r="AY69" i="18518"/>
  <c r="AX69" i="18518"/>
  <c r="AW69" i="18518"/>
  <c r="AV69" i="18518"/>
  <c r="AU69" i="18518"/>
  <c r="AT69" i="18518"/>
  <c r="AS69" i="18518"/>
  <c r="AR69" i="18518"/>
  <c r="AP69" i="18518"/>
  <c r="AO69" i="18518"/>
  <c r="AN69" i="18518"/>
  <c r="AL69" i="18518"/>
  <c r="AK69" i="18518"/>
  <c r="AJ69" i="18518"/>
  <c r="AI69" i="18518"/>
  <c r="AG69" i="18518"/>
  <c r="AF69" i="18518"/>
  <c r="AD69" i="18518"/>
  <c r="AC69" i="18518"/>
  <c r="AB69" i="18518"/>
  <c r="AA69" i="18518"/>
  <c r="Z69" i="18518"/>
  <c r="X69" i="18518"/>
  <c r="W69" i="18518"/>
  <c r="V69" i="18518"/>
  <c r="U69" i="18518"/>
  <c r="T69" i="18518"/>
  <c r="S69" i="18518"/>
  <c r="R69" i="18518"/>
  <c r="Q69" i="18518"/>
  <c r="P69" i="18518"/>
  <c r="O69" i="18518"/>
  <c r="N69" i="18518"/>
  <c r="M69" i="18518"/>
  <c r="L69" i="18518"/>
  <c r="K69" i="18518"/>
  <c r="J69" i="18518"/>
  <c r="I69" i="18518"/>
  <c r="H69" i="18518"/>
  <c r="G69" i="18518"/>
  <c r="F69" i="18518"/>
  <c r="E69" i="18518"/>
  <c r="D69" i="18518"/>
  <c r="C69" i="18518"/>
  <c r="B69" i="18518"/>
  <c r="BC59" i="18518"/>
  <c r="BB59" i="18518"/>
  <c r="BA59" i="18518"/>
  <c r="AZ59" i="18518"/>
  <c r="AY59" i="18518"/>
  <c r="AX59" i="18518"/>
  <c r="AW59" i="18518"/>
  <c r="AV59" i="18518"/>
  <c r="AU59" i="18518"/>
  <c r="AT59" i="18518"/>
  <c r="AR59" i="18518"/>
  <c r="AQ59" i="18518"/>
  <c r="AP59" i="18518"/>
  <c r="AO59" i="18518"/>
  <c r="AN59" i="18518"/>
  <c r="AL59" i="18518"/>
  <c r="AK59" i="18518"/>
  <c r="AJ59" i="18518"/>
  <c r="AG59" i="18518"/>
  <c r="AF59" i="18518"/>
  <c r="AD59" i="18518"/>
  <c r="AC59" i="18518"/>
  <c r="AB59" i="18518"/>
  <c r="AA59" i="18518"/>
  <c r="Z59" i="18518"/>
  <c r="Y59" i="18518"/>
  <c r="X59" i="18518"/>
  <c r="W59" i="18518"/>
  <c r="V59" i="18518"/>
  <c r="U59" i="18518"/>
  <c r="T59" i="18518"/>
  <c r="S59" i="18518"/>
  <c r="R59" i="18518"/>
  <c r="Q59" i="18518"/>
  <c r="P59" i="18518"/>
  <c r="O59" i="18518"/>
  <c r="N59" i="18518"/>
  <c r="M59" i="18518"/>
  <c r="L59" i="18518"/>
  <c r="K59" i="18518"/>
  <c r="J59" i="18518"/>
  <c r="I59" i="18518"/>
  <c r="H59" i="18518"/>
  <c r="G59" i="18518"/>
  <c r="F59" i="18518"/>
  <c r="E59" i="18518"/>
  <c r="D59" i="18518"/>
  <c r="C59" i="18518"/>
  <c r="B59" i="18518"/>
  <c r="E84" i="18520"/>
  <c r="C84" i="18520"/>
  <c r="E83" i="18520"/>
  <c r="C83" i="18520"/>
  <c r="E82" i="18520"/>
  <c r="C82" i="18520"/>
  <c r="E81" i="18520"/>
  <c r="C81" i="18520"/>
  <c r="E80" i="18520"/>
  <c r="C80" i="18520"/>
  <c r="E79" i="18520"/>
  <c r="C79" i="18520"/>
  <c r="E78" i="18520"/>
  <c r="C78" i="18520"/>
  <c r="E74" i="18520"/>
  <c r="D74" i="18520"/>
  <c r="C74" i="18520"/>
  <c r="B74" i="18520"/>
  <c r="E73" i="18520"/>
  <c r="D73" i="18520"/>
  <c r="C73" i="18520"/>
  <c r="B73" i="18520"/>
  <c r="E71" i="18520"/>
  <c r="D71" i="18520"/>
  <c r="C71" i="18520"/>
  <c r="B71" i="18520"/>
  <c r="E69" i="18520"/>
  <c r="D69" i="18520"/>
  <c r="C69" i="18520"/>
  <c r="B69" i="18520"/>
  <c r="E68" i="18520"/>
  <c r="D68" i="18520"/>
  <c r="C68" i="18520"/>
  <c r="B68" i="18520"/>
  <c r="E66" i="18520"/>
  <c r="D66" i="18520"/>
  <c r="C66" i="18520"/>
  <c r="B66" i="18520"/>
  <c r="E65" i="18520"/>
  <c r="D65" i="18520"/>
  <c r="C65" i="18520"/>
  <c r="B65" i="18520"/>
  <c r="E63" i="18520"/>
  <c r="D63" i="18520"/>
  <c r="C63" i="18520"/>
  <c r="B63" i="18520"/>
  <c r="E62" i="18520"/>
  <c r="D62" i="18520"/>
  <c r="C62" i="18520"/>
  <c r="B62" i="18520"/>
  <c r="E61" i="18520"/>
  <c r="D61" i="18520"/>
  <c r="C61" i="18520"/>
  <c r="B61" i="18520"/>
  <c r="E60" i="18520"/>
  <c r="D60" i="18520"/>
  <c r="C60" i="18520"/>
  <c r="B60" i="18520"/>
  <c r="E58" i="18520"/>
  <c r="D58" i="18520"/>
  <c r="C58" i="18520"/>
  <c r="B58" i="18520"/>
  <c r="BX83" i="18517"/>
  <c r="BV83" i="18517"/>
  <c r="BT83" i="18517"/>
  <c r="BR83" i="18517"/>
  <c r="BP83" i="18517"/>
  <c r="BN83" i="18517"/>
  <c r="BL83" i="18517"/>
  <c r="BH83" i="18517"/>
  <c r="BF83" i="18517"/>
  <c r="BB83" i="18517"/>
  <c r="AZ83" i="18517"/>
  <c r="AX83" i="18517"/>
  <c r="AV83" i="18517"/>
  <c r="AT83" i="18517"/>
  <c r="AR83" i="18517"/>
  <c r="AP83" i="18517"/>
  <c r="AN83" i="18517"/>
  <c r="AL83" i="18517"/>
  <c r="AD83" i="18517"/>
  <c r="AB83" i="18517"/>
  <c r="Z83" i="18517"/>
  <c r="X83" i="18517"/>
  <c r="U83" i="18517"/>
  <c r="Q83" i="18517"/>
  <c r="O83" i="18517"/>
  <c r="M83" i="18517"/>
  <c r="G83" i="18517"/>
  <c r="E83" i="18517"/>
  <c r="BZ82" i="18517"/>
  <c r="BX82" i="18517"/>
  <c r="BV82" i="18517"/>
  <c r="BT82" i="18517"/>
  <c r="BR82" i="18517"/>
  <c r="BP82" i="18517"/>
  <c r="BN82" i="18517"/>
  <c r="BL82" i="18517"/>
  <c r="BJ82" i="18517"/>
  <c r="BH82" i="18517"/>
  <c r="BF82" i="18517"/>
  <c r="BD82" i="18517"/>
  <c r="AZ82" i="18517"/>
  <c r="AX82" i="18517"/>
  <c r="AV82" i="18517"/>
  <c r="AT82" i="18517"/>
  <c r="AR82" i="18517"/>
  <c r="AP82" i="18517"/>
  <c r="AN82" i="18517"/>
  <c r="AL82" i="18517"/>
  <c r="AH82" i="18517"/>
  <c r="AF82" i="18517"/>
  <c r="AD82" i="18517"/>
  <c r="AB82" i="18517"/>
  <c r="Z82" i="18517"/>
  <c r="X82" i="18517"/>
  <c r="U82" i="18517"/>
  <c r="S82" i="18517"/>
  <c r="Q82" i="18517"/>
  <c r="O82" i="18517"/>
  <c r="M82" i="18517"/>
  <c r="K82" i="18517"/>
  <c r="I82" i="18517"/>
  <c r="G82" i="18517"/>
  <c r="E82" i="18517"/>
  <c r="C82" i="18517"/>
  <c r="BZ81" i="18517"/>
  <c r="BX81" i="18517"/>
  <c r="BV81" i="18517"/>
  <c r="BT81" i="18517"/>
  <c r="BR81" i="18517"/>
  <c r="BP81" i="18517"/>
  <c r="BN81" i="18517"/>
  <c r="BL81" i="18517"/>
  <c r="BJ81" i="18517"/>
  <c r="BH81" i="18517"/>
  <c r="BF81" i="18517"/>
  <c r="BD81" i="18517"/>
  <c r="BB81" i="18517"/>
  <c r="AZ81" i="18517"/>
  <c r="AX81" i="18517"/>
  <c r="AV81" i="18517"/>
  <c r="AT81" i="18517"/>
  <c r="AP81" i="18517"/>
  <c r="AN81" i="18517"/>
  <c r="AL81" i="18517"/>
  <c r="AJ81" i="18517"/>
  <c r="AH81" i="18517"/>
  <c r="AF81" i="18517"/>
  <c r="AD81" i="18517"/>
  <c r="AB81" i="18517"/>
  <c r="Z81" i="18517"/>
  <c r="X81" i="18517"/>
  <c r="U81" i="18517"/>
  <c r="S81" i="18517"/>
  <c r="Q81" i="18517"/>
  <c r="O81" i="18517"/>
  <c r="M81" i="18517"/>
  <c r="K81" i="18517"/>
  <c r="I81" i="18517"/>
  <c r="G81" i="18517"/>
  <c r="E81" i="18517"/>
  <c r="C81" i="18517"/>
  <c r="L73" i="18517"/>
  <c r="L71" i="18517"/>
  <c r="L69" i="18517"/>
  <c r="BX68" i="18517"/>
  <c r="BW68" i="18517"/>
  <c r="BV68" i="18517"/>
  <c r="BU68" i="18517"/>
  <c r="BT68" i="18517"/>
  <c r="BS68" i="18517"/>
  <c r="BR68" i="18517"/>
  <c r="BQ68" i="18517"/>
  <c r="BP68" i="18517"/>
  <c r="BO68" i="18517"/>
  <c r="BN68" i="18517"/>
  <c r="BM68" i="18517"/>
  <c r="BL68" i="18517"/>
  <c r="BJ68" i="18517"/>
  <c r="BI68" i="18517"/>
  <c r="BH68" i="18517"/>
  <c r="BG68" i="18517"/>
  <c r="BF68" i="18517"/>
  <c r="BE68" i="18517"/>
  <c r="BD68" i="18517"/>
  <c r="BC68" i="18517"/>
  <c r="BB68" i="18517"/>
  <c r="BA68" i="18517"/>
  <c r="AZ68" i="18517"/>
  <c r="AY68" i="18517"/>
  <c r="AX68" i="18517"/>
  <c r="AW68" i="18517"/>
  <c r="AV68" i="18517"/>
  <c r="AU68" i="18517"/>
  <c r="AR68" i="18517"/>
  <c r="AQ68" i="18517"/>
  <c r="AP68" i="18517"/>
  <c r="AO68" i="18517"/>
  <c r="AN68" i="18517"/>
  <c r="AM68" i="18517"/>
  <c r="AL68" i="18517"/>
  <c r="AK68" i="18517"/>
  <c r="AJ68" i="18517"/>
  <c r="AI68" i="18517"/>
  <c r="AH68" i="18517"/>
  <c r="AG68" i="18517"/>
  <c r="AF68" i="18517"/>
  <c r="AE68" i="18517"/>
  <c r="AD68" i="18517"/>
  <c r="AC68" i="18517"/>
  <c r="AB68" i="18517"/>
  <c r="AA68" i="18517"/>
  <c r="Z68" i="18517"/>
  <c r="Y68" i="18517"/>
  <c r="X68" i="18517"/>
  <c r="W68" i="18517"/>
  <c r="U68" i="18517"/>
  <c r="T68" i="18517"/>
  <c r="S68" i="18517"/>
  <c r="R68" i="18517"/>
  <c r="Q68" i="18517"/>
  <c r="P68" i="18517"/>
  <c r="O68" i="18517"/>
  <c r="N68" i="18517"/>
  <c r="M68" i="18517"/>
  <c r="L68" i="18517"/>
  <c r="K68" i="18517"/>
  <c r="J68" i="18517"/>
  <c r="I68" i="18517"/>
  <c r="H68" i="18517"/>
  <c r="G68" i="18517"/>
  <c r="F68" i="18517"/>
  <c r="E68" i="18517"/>
  <c r="D68" i="18517"/>
  <c r="C68" i="18517"/>
  <c r="B68" i="18517"/>
  <c r="L66" i="18517"/>
  <c r="L65" i="18517"/>
  <c r="L63" i="18517"/>
  <c r="L62" i="18517"/>
  <c r="L61" i="18517"/>
  <c r="L60" i="18517"/>
  <c r="CW58" i="18517"/>
  <c r="CV58" i="18517"/>
  <c r="BZ58" i="18517"/>
  <c r="BY58" i="18517"/>
  <c r="BX58" i="18517"/>
  <c r="BW58" i="18517"/>
  <c r="BV58" i="18517"/>
  <c r="BU58" i="18517"/>
  <c r="BT58" i="18517"/>
  <c r="BS58" i="18517"/>
  <c r="BR58" i="18517"/>
  <c r="BQ58" i="18517"/>
  <c r="BP58" i="18517"/>
  <c r="BO58" i="18517"/>
  <c r="BN58" i="18517"/>
  <c r="BM58" i="18517"/>
  <c r="BL58" i="18517"/>
  <c r="BJ58" i="18517"/>
  <c r="BI58" i="18517"/>
  <c r="BH58" i="18517"/>
  <c r="BG58" i="18517"/>
  <c r="BF58" i="18517"/>
  <c r="BE58" i="18517"/>
  <c r="BD58" i="18517"/>
  <c r="BC58" i="18517"/>
  <c r="BB58" i="18517"/>
  <c r="BA58" i="18517"/>
  <c r="AZ58" i="18517"/>
  <c r="AY58" i="18517"/>
  <c r="AX58" i="18517"/>
  <c r="AW58" i="18517"/>
  <c r="AV58" i="18517"/>
  <c r="AU58" i="18517"/>
  <c r="AT58" i="18517"/>
  <c r="AS58" i="18517"/>
  <c r="AR58" i="18517"/>
  <c r="AQ58" i="18517"/>
  <c r="AP58" i="18517"/>
  <c r="AO58" i="18517"/>
  <c r="AN58" i="18517"/>
  <c r="AM58" i="18517"/>
  <c r="AL58" i="18517"/>
  <c r="AK58" i="18517"/>
  <c r="AJ58" i="18517"/>
  <c r="AI58" i="18517"/>
  <c r="AH58" i="18517"/>
  <c r="AG58" i="18517"/>
  <c r="AF58" i="18517"/>
  <c r="AE58" i="18517"/>
  <c r="AD58" i="18517"/>
  <c r="AC58" i="18517"/>
  <c r="AB58" i="18517"/>
  <c r="AA58" i="18517"/>
  <c r="Z58" i="18517"/>
  <c r="Y58" i="18517"/>
  <c r="X58" i="18517"/>
  <c r="W58" i="18517"/>
  <c r="U58" i="18517"/>
  <c r="T58" i="18517"/>
  <c r="S58" i="18517"/>
  <c r="R58" i="18517"/>
  <c r="Q58" i="18517"/>
  <c r="P58" i="18517"/>
  <c r="O58" i="18517"/>
  <c r="N58" i="18517"/>
  <c r="M58" i="18517"/>
  <c r="L58" i="18517"/>
  <c r="K58" i="18517"/>
  <c r="J58" i="18517"/>
  <c r="I58" i="18517"/>
  <c r="H58" i="18517"/>
  <c r="G58" i="18517"/>
  <c r="F58" i="18517"/>
  <c r="E58" i="18517"/>
  <c r="D58" i="18517"/>
  <c r="C58" i="18517"/>
  <c r="B58" i="18517"/>
  <c r="AA83" i="18524"/>
  <c r="X83" i="18524"/>
  <c r="U83" i="18524"/>
  <c r="O83" i="18524"/>
  <c r="L83" i="18524"/>
  <c r="I83" i="18524"/>
  <c r="C83" i="18524"/>
  <c r="AA82" i="18524"/>
  <c r="X82" i="18524"/>
  <c r="U82" i="18524"/>
  <c r="R82" i="18524"/>
  <c r="O82" i="18524"/>
  <c r="L82" i="18524"/>
  <c r="I82" i="18524"/>
  <c r="F82" i="18524"/>
  <c r="C82" i="18524"/>
  <c r="AA81" i="18524"/>
  <c r="X81" i="18524"/>
  <c r="U81" i="18524"/>
  <c r="R81" i="18524"/>
  <c r="O81" i="18524"/>
  <c r="L81" i="18524"/>
  <c r="I81" i="18524"/>
  <c r="F81" i="18524"/>
  <c r="C81" i="18524"/>
  <c r="AA68" i="18524"/>
  <c r="Z68" i="18524"/>
  <c r="X68" i="18524"/>
  <c r="W68" i="18524"/>
  <c r="U68" i="18524"/>
  <c r="T68" i="18524"/>
  <c r="R68" i="18524"/>
  <c r="Q68" i="18524"/>
  <c r="O68" i="18524"/>
  <c r="N68" i="18524"/>
  <c r="L68" i="18524"/>
  <c r="K68" i="18524"/>
  <c r="I68" i="18524"/>
  <c r="H68" i="18524"/>
  <c r="C68" i="18524"/>
  <c r="B68" i="18524"/>
  <c r="AA58" i="18524"/>
  <c r="Z58" i="18524"/>
  <c r="X58" i="18524"/>
  <c r="W58" i="18524"/>
  <c r="U58" i="18524"/>
  <c r="T58" i="18524"/>
  <c r="R58" i="18524"/>
  <c r="Q58" i="18524"/>
  <c r="O58" i="18524"/>
  <c r="N58" i="18524"/>
  <c r="L58" i="18524"/>
  <c r="K58" i="18524"/>
  <c r="I58" i="18524"/>
  <c r="H58" i="18524"/>
  <c r="C58" i="18524"/>
  <c r="B58" i="18524"/>
  <c r="BT83" i="18523"/>
  <c r="BQ83" i="18523"/>
  <c r="BN83" i="18523"/>
  <c r="BK83" i="18523"/>
  <c r="AV83" i="18523"/>
  <c r="AS83" i="18523"/>
  <c r="AP83" i="18523"/>
  <c r="AM83" i="18523"/>
  <c r="AJ83" i="18523"/>
  <c r="AG83" i="18523"/>
  <c r="AD83" i="18523"/>
  <c r="AA83" i="18523"/>
  <c r="X83" i="18523"/>
  <c r="R83" i="18523"/>
  <c r="O83" i="18523"/>
  <c r="L83" i="18523"/>
  <c r="I83" i="18523"/>
  <c r="F83" i="18523"/>
  <c r="BW82" i="18523"/>
  <c r="BT82" i="18523"/>
  <c r="BQ82" i="18523"/>
  <c r="BN82" i="18523"/>
  <c r="BK82" i="18523"/>
  <c r="BH82" i="18523"/>
  <c r="BE82" i="18523"/>
  <c r="BB82" i="18523"/>
  <c r="AY82" i="18523"/>
  <c r="AV82" i="18523"/>
  <c r="AS82" i="18523"/>
  <c r="AP82" i="18523"/>
  <c r="AM82" i="18523"/>
  <c r="AJ82" i="18523"/>
  <c r="AG82" i="18523"/>
  <c r="AD82" i="18523"/>
  <c r="AA82" i="18523"/>
  <c r="U82" i="18523"/>
  <c r="R82" i="18523"/>
  <c r="O82" i="18523"/>
  <c r="L82" i="18523"/>
  <c r="BW81" i="18523"/>
  <c r="BT81" i="18523"/>
  <c r="BQ81" i="18523"/>
  <c r="BN81" i="18523"/>
  <c r="BK81" i="18523"/>
  <c r="BH81" i="18523"/>
  <c r="BE81" i="18523"/>
  <c r="BB81" i="18523"/>
  <c r="AY81" i="18523"/>
  <c r="AV81" i="18523"/>
  <c r="AS81" i="18523"/>
  <c r="AP81" i="18523"/>
  <c r="AM81" i="18523"/>
  <c r="AJ81" i="18523"/>
  <c r="AG81" i="18523"/>
  <c r="AD81" i="18523"/>
  <c r="AA81" i="18523"/>
  <c r="X81" i="18523"/>
  <c r="U81" i="18523"/>
  <c r="R81" i="18523"/>
  <c r="O81" i="18523"/>
  <c r="L81" i="18523"/>
  <c r="F81" i="18523"/>
  <c r="C81" i="18523"/>
  <c r="BW68" i="18523"/>
  <c r="BV68" i="18523"/>
  <c r="BT68" i="18523"/>
  <c r="BS68" i="18523"/>
  <c r="BQ68" i="18523"/>
  <c r="BP68" i="18523"/>
  <c r="BN68" i="18523"/>
  <c r="BM68" i="18523"/>
  <c r="BK68" i="18523"/>
  <c r="BJ68" i="18523"/>
  <c r="BH68" i="18523"/>
  <c r="BG68" i="18523"/>
  <c r="BE68" i="18523"/>
  <c r="BD68" i="18523"/>
  <c r="BB68" i="18523"/>
  <c r="BA68" i="18523"/>
  <c r="AY68" i="18523"/>
  <c r="AX68" i="18523"/>
  <c r="AV68" i="18523"/>
  <c r="AU68" i="18523"/>
  <c r="AS68" i="18523"/>
  <c r="AR68" i="18523"/>
  <c r="AP68" i="18523"/>
  <c r="AO68" i="18523"/>
  <c r="AM68" i="18523"/>
  <c r="AL68" i="18523"/>
  <c r="AJ68" i="18523"/>
  <c r="AI68" i="18523"/>
  <c r="AG68" i="18523"/>
  <c r="AF68" i="18523"/>
  <c r="AD68" i="18523"/>
  <c r="AC68" i="18523"/>
  <c r="AA68" i="18523"/>
  <c r="Z68" i="18523"/>
  <c r="X68" i="18523"/>
  <c r="U68" i="18523"/>
  <c r="T68" i="18523"/>
  <c r="R68" i="18523"/>
  <c r="Q68" i="18523"/>
  <c r="O68" i="18523"/>
  <c r="N68" i="18523"/>
  <c r="L68" i="18523"/>
  <c r="K68" i="18523"/>
  <c r="I68" i="18523"/>
  <c r="H68" i="18523"/>
  <c r="F68" i="18523"/>
  <c r="E68" i="18523"/>
  <c r="C68" i="18523"/>
  <c r="B68" i="18523"/>
  <c r="BW58" i="18523"/>
  <c r="BV58" i="18523"/>
  <c r="BT58" i="18523"/>
  <c r="BS58" i="18523"/>
  <c r="BQ58" i="18523"/>
  <c r="BP58" i="18523"/>
  <c r="BN58" i="18523"/>
  <c r="BM58" i="18523"/>
  <c r="BK58" i="18523"/>
  <c r="BJ58" i="18523"/>
  <c r="BH58" i="18523"/>
  <c r="BG58" i="18523"/>
  <c r="BE58" i="18523"/>
  <c r="BD58" i="18523"/>
  <c r="BB58" i="18523"/>
  <c r="BA58" i="18523"/>
  <c r="AY58" i="18523"/>
  <c r="AX58" i="18523"/>
  <c r="AV58" i="18523"/>
  <c r="AU58" i="18523"/>
  <c r="AS58" i="18523"/>
  <c r="AR58" i="18523"/>
  <c r="AP58" i="18523"/>
  <c r="AO58" i="18523"/>
  <c r="AM58" i="18523"/>
  <c r="AL58" i="18523"/>
  <c r="AJ58" i="18523"/>
  <c r="AI58" i="18523"/>
  <c r="AG58" i="18523"/>
  <c r="AF58" i="18523"/>
  <c r="AD58" i="18523"/>
  <c r="AC58" i="18523"/>
  <c r="AA58" i="18523"/>
  <c r="Z58" i="18523"/>
  <c r="X58" i="18523"/>
  <c r="W58" i="18523"/>
  <c r="U58" i="18523"/>
  <c r="T58" i="18523"/>
  <c r="R58" i="18523"/>
  <c r="Q58" i="18523"/>
  <c r="O58" i="18523"/>
  <c r="N58" i="18523"/>
  <c r="L58" i="18523"/>
  <c r="K58" i="18523"/>
  <c r="I58" i="18523"/>
  <c r="F58" i="18523"/>
  <c r="E58" i="18523"/>
  <c r="C58" i="18523"/>
  <c r="B58" i="18523"/>
  <c r="I82" i="18522"/>
  <c r="C82" i="18522"/>
  <c r="I81" i="18522"/>
  <c r="F81" i="18522"/>
  <c r="I68" i="18522"/>
  <c r="H68" i="18522"/>
  <c r="F68" i="18522"/>
  <c r="E68" i="18522"/>
  <c r="I58" i="18522"/>
  <c r="H58" i="18522"/>
  <c r="F58" i="18522"/>
  <c r="E58" i="18522"/>
  <c r="K83" i="18521"/>
  <c r="C83" i="18521"/>
  <c r="I82" i="18521"/>
  <c r="K82" i="18521"/>
  <c r="G82" i="18521"/>
  <c r="E82" i="18521"/>
  <c r="C82" i="18521"/>
  <c r="I81" i="18521"/>
  <c r="G81" i="18521"/>
  <c r="E81" i="18521"/>
  <c r="C81" i="18521"/>
  <c r="I68" i="18521"/>
  <c r="H68" i="18521"/>
  <c r="K68" i="18521"/>
  <c r="J68" i="18521"/>
  <c r="G68" i="18521"/>
  <c r="F68" i="18521"/>
  <c r="E68" i="18521"/>
  <c r="D68" i="18521"/>
  <c r="C68" i="18521"/>
  <c r="B68" i="18521"/>
  <c r="I58" i="18521"/>
  <c r="H58" i="18521"/>
  <c r="K58" i="18521"/>
  <c r="J58" i="18521"/>
  <c r="G58" i="18521"/>
  <c r="F58" i="18521"/>
  <c r="E58" i="18521"/>
  <c r="D58" i="18521"/>
  <c r="C58" i="18521"/>
  <c r="B58" i="18521"/>
  <c r="O83" i="1"/>
  <c r="I83" i="1"/>
  <c r="C83" i="1"/>
  <c r="R82" i="1"/>
  <c r="O82" i="1"/>
  <c r="L82" i="1"/>
  <c r="I82" i="1"/>
  <c r="C82" i="1"/>
  <c r="O81" i="1"/>
  <c r="L81" i="1"/>
  <c r="I81" i="1"/>
  <c r="F81" i="1"/>
  <c r="C81" i="1"/>
  <c r="O68" i="1"/>
  <c r="N68" i="1"/>
  <c r="L68" i="1"/>
  <c r="K68" i="1"/>
  <c r="I68" i="1"/>
  <c r="H68" i="1"/>
  <c r="F68" i="1"/>
  <c r="E68" i="1"/>
  <c r="C68" i="1"/>
  <c r="B68" i="1"/>
  <c r="O58" i="1"/>
  <c r="N58" i="1"/>
  <c r="L58" i="1"/>
  <c r="K58" i="1"/>
  <c r="I58" i="1"/>
  <c r="H58" i="1"/>
  <c r="F58" i="1"/>
  <c r="E58" i="1"/>
  <c r="C58" i="1"/>
  <c r="B58" i="1"/>
  <c r="AE84" i="18518"/>
  <c r="AM69" i="18518"/>
  <c r="AE59" i="18518"/>
  <c r="CJ73" i="18523" l="1"/>
  <c r="CJ43" i="18523"/>
  <c r="CJ45" i="18523" s="1"/>
  <c r="CJ65" i="18523"/>
  <c r="CJ69" i="18523"/>
  <c r="CJ49" i="18523"/>
  <c r="CJ66" i="18523"/>
  <c r="CJ63" i="18523"/>
  <c r="CJ61" i="18523"/>
  <c r="CJ33" i="18523"/>
  <c r="CI47" i="18517"/>
  <c r="BI47" i="18516"/>
  <c r="BI74" i="18516"/>
  <c r="CG47" i="18517"/>
  <c r="AC74" i="18524"/>
  <c r="AC51" i="18524"/>
  <c r="CB51" i="18523"/>
  <c r="CB74" i="18523"/>
  <c r="BY47" i="18523"/>
  <c r="BY74" i="18523"/>
  <c r="AM59" i="18518"/>
  <c r="CG74" i="18517"/>
  <c r="AD47" i="18524"/>
  <c r="AD51" i="18524"/>
  <c r="AD74" i="18524"/>
  <c r="BK47" i="18514"/>
  <c r="BK51" i="18514"/>
  <c r="BK74" i="18514"/>
  <c r="BZ47" i="18523"/>
  <c r="BZ74" i="18523"/>
  <c r="BF47" i="18516"/>
  <c r="BF51" i="18516"/>
  <c r="BF74" i="18516"/>
  <c r="CS43" i="18517"/>
  <c r="CS45" i="18517" s="1"/>
  <c r="CS84" i="18517"/>
  <c r="CS73" i="18517"/>
  <c r="CL74" i="18517"/>
  <c r="CI74" i="18517"/>
  <c r="CN51" i="18517"/>
  <c r="CN74" i="18517"/>
  <c r="CN47" i="18517"/>
  <c r="CQ51" i="18517"/>
  <c r="CQ74" i="18517"/>
  <c r="CQ47" i="18517"/>
  <c r="CK74" i="18517"/>
  <c r="CK51" i="18517"/>
  <c r="CL47" i="18517"/>
  <c r="CE51" i="18517"/>
  <c r="CE47" i="18517"/>
  <c r="CA47" i="18517"/>
  <c r="CA74" i="18517"/>
  <c r="CJ74" i="18517"/>
  <c r="CJ51" i="18517"/>
  <c r="CF47" i="18517"/>
  <c r="CF74" i="18517"/>
  <c r="CB51" i="18517"/>
  <c r="CB74" i="18517"/>
  <c r="CB47" i="18517"/>
  <c r="CD47" i="18517"/>
  <c r="CD74" i="18517"/>
  <c r="CD51" i="18517"/>
  <c r="BZ83" i="18517"/>
  <c r="BH43" i="18514"/>
  <c r="BH45" i="18514" s="1"/>
  <c r="BH74" i="18514" s="1"/>
  <c r="BI43" i="18514"/>
  <c r="BI45" i="18514" s="1"/>
  <c r="BI74" i="18514" s="1"/>
  <c r="BI84" i="18514"/>
  <c r="BI76" i="18514"/>
  <c r="BI16" i="18514"/>
  <c r="BI33" i="18514" s="1"/>
  <c r="BI49" i="18514" s="1"/>
  <c r="BH76" i="18514"/>
  <c r="BH71" i="18514"/>
  <c r="BH69" i="18514"/>
  <c r="BH33" i="18514"/>
  <c r="BH49" i="18514" s="1"/>
  <c r="BH60" i="18514"/>
  <c r="BH65" i="18514"/>
  <c r="BI78" i="18514"/>
  <c r="BI71" i="18514"/>
  <c r="BH61" i="18514"/>
  <c r="BI80" i="18514"/>
  <c r="BI51" i="18514"/>
  <c r="BH63" i="18514"/>
  <c r="BE43" i="18516"/>
  <c r="BE45" i="18516" s="1"/>
  <c r="BD43" i="18516"/>
  <c r="BD45" i="18516" s="1"/>
  <c r="BD74" i="18516" s="1"/>
  <c r="BE84" i="18516"/>
  <c r="BD61" i="18516"/>
  <c r="BE78" i="18516"/>
  <c r="BD63" i="18516"/>
  <c r="BD69" i="18516"/>
  <c r="BE61" i="18516"/>
  <c r="BE79" i="18516"/>
  <c r="BE60" i="18516"/>
  <c r="BE33" i="18516"/>
  <c r="BE49" i="18516" s="1"/>
  <c r="BE63" i="18516"/>
  <c r="BD62" i="18516"/>
  <c r="BE80" i="18516"/>
  <c r="BD71" i="18516"/>
  <c r="BE69" i="18516"/>
  <c r="BD33" i="18516"/>
  <c r="BD49" i="18516" s="1"/>
  <c r="BD60" i="18516"/>
  <c r="BD65" i="18516"/>
  <c r="BE65" i="18516"/>
  <c r="BE71" i="18516"/>
  <c r="BC42" i="18516"/>
  <c r="BC41" i="18516"/>
  <c r="BB42" i="18516"/>
  <c r="BB41" i="18516"/>
  <c r="BC76" i="18516"/>
  <c r="BB76" i="18516"/>
  <c r="BC40" i="18516"/>
  <c r="BB40" i="18516"/>
  <c r="BB73" i="18516" s="1"/>
  <c r="BC32" i="18516"/>
  <c r="BB32" i="18516"/>
  <c r="BC16" i="18516"/>
  <c r="BB16" i="18516"/>
  <c r="BC12" i="18516"/>
  <c r="BB12" i="18516"/>
  <c r="I41" i="18521"/>
  <c r="I42" i="18521"/>
  <c r="H42" i="18521"/>
  <c r="H41" i="18521"/>
  <c r="I39" i="18521"/>
  <c r="I40" i="18521" s="1"/>
  <c r="H39" i="18521"/>
  <c r="H40" i="18521" s="1"/>
  <c r="H73" i="18521" s="1"/>
  <c r="AZ12" i="18516"/>
  <c r="BA12" i="18516"/>
  <c r="AZ14" i="18516"/>
  <c r="BA14" i="18516"/>
  <c r="AZ15" i="18516"/>
  <c r="BA15" i="18516"/>
  <c r="AZ32" i="18516"/>
  <c r="BA32" i="18516"/>
  <c r="AZ39" i="18516"/>
  <c r="AZ40" i="18516" s="1"/>
  <c r="AZ73" i="18516" s="1"/>
  <c r="BA39" i="18516"/>
  <c r="AZ42" i="18516"/>
  <c r="BA42" i="18516"/>
  <c r="AY76" i="18516"/>
  <c r="AX76" i="18516"/>
  <c r="AY40" i="18516"/>
  <c r="AX40" i="18516"/>
  <c r="AX73" i="18516" s="1"/>
  <c r="AY32" i="18516"/>
  <c r="AX32" i="18516"/>
  <c r="AY16" i="18516"/>
  <c r="AX16" i="18516"/>
  <c r="AY12" i="18516"/>
  <c r="AX12" i="18516"/>
  <c r="BG76" i="18514"/>
  <c r="BF76" i="18514"/>
  <c r="BG40" i="18514"/>
  <c r="BF40" i="18514"/>
  <c r="BF73" i="18514" s="1"/>
  <c r="BG32" i="18514"/>
  <c r="BF32" i="18514"/>
  <c r="BG16" i="18514"/>
  <c r="BF16" i="18514"/>
  <c r="BG12" i="18514"/>
  <c r="BF12" i="18514"/>
  <c r="BV42" i="18517"/>
  <c r="BU42" i="18517"/>
  <c r="BZ76" i="18517"/>
  <c r="BY76" i="18517"/>
  <c r="BZ40" i="18517"/>
  <c r="BZ73" i="18517" s="1"/>
  <c r="BY40" i="18517"/>
  <c r="BY43" i="18517" s="1"/>
  <c r="BZ32" i="18517"/>
  <c r="BZ62" i="18517" s="1"/>
  <c r="BY32" i="18517"/>
  <c r="BZ16" i="18517"/>
  <c r="BY16" i="18517"/>
  <c r="BZ12" i="18517"/>
  <c r="BY12" i="18517"/>
  <c r="BX76" i="18517"/>
  <c r="BW76" i="18517"/>
  <c r="BX40" i="18517"/>
  <c r="BW40" i="18517"/>
  <c r="BW73" i="18517" s="1"/>
  <c r="BX32" i="18517"/>
  <c r="BW32" i="18517"/>
  <c r="BX16" i="18517"/>
  <c r="BW16" i="18517"/>
  <c r="BX12" i="18517"/>
  <c r="BW12" i="18517"/>
  <c r="BQ12" i="18517"/>
  <c r="BR12" i="18517"/>
  <c r="BS12" i="18517"/>
  <c r="BT12" i="18517"/>
  <c r="BU12" i="18517"/>
  <c r="BV12" i="18517"/>
  <c r="BQ16" i="18517"/>
  <c r="BR16" i="18517"/>
  <c r="BS16" i="18517"/>
  <c r="BT16" i="18517"/>
  <c r="BU16" i="18517"/>
  <c r="BV16" i="18517"/>
  <c r="BQ32" i="18517"/>
  <c r="BR32" i="18517"/>
  <c r="BS32" i="18517"/>
  <c r="BT32" i="18517"/>
  <c r="BU32" i="18517"/>
  <c r="BV32" i="18517"/>
  <c r="BQ40" i="18517"/>
  <c r="BQ73" i="18517" s="1"/>
  <c r="BR40" i="18517"/>
  <c r="BS40" i="18517"/>
  <c r="BT40" i="18517"/>
  <c r="BT43" i="18517" s="1"/>
  <c r="BT45" i="18517" s="1"/>
  <c r="BT74" i="18517" s="1"/>
  <c r="BU40" i="18517"/>
  <c r="BU73" i="18517" s="1"/>
  <c r="BV40" i="18517"/>
  <c r="BU41" i="18517"/>
  <c r="BV41" i="18517"/>
  <c r="BR42" i="18517"/>
  <c r="BQ76" i="18517"/>
  <c r="BR76" i="18517"/>
  <c r="BS76" i="18517"/>
  <c r="BT76" i="18517"/>
  <c r="BU76" i="18517"/>
  <c r="BV76" i="18517"/>
  <c r="AW16" i="18516"/>
  <c r="AV16" i="18516"/>
  <c r="AU16" i="18516"/>
  <c r="AT16" i="18516"/>
  <c r="AS16" i="18516"/>
  <c r="AR16" i="18516"/>
  <c r="AQ16" i="18516"/>
  <c r="AP16" i="18516"/>
  <c r="AO16" i="18516"/>
  <c r="AN16" i="18516"/>
  <c r="AM16" i="18516"/>
  <c r="AL16" i="18516"/>
  <c r="AK16" i="18516"/>
  <c r="AJ16" i="18516"/>
  <c r="AI16" i="18516"/>
  <c r="AH16" i="18516"/>
  <c r="AG16" i="18516"/>
  <c r="AF16" i="18516"/>
  <c r="AE16" i="18516"/>
  <c r="AD16" i="18516"/>
  <c r="AC16" i="18516"/>
  <c r="AB16" i="18516"/>
  <c r="AA16" i="18516"/>
  <c r="Z16" i="18516"/>
  <c r="Y16" i="18516"/>
  <c r="X16" i="18516"/>
  <c r="W16" i="18516"/>
  <c r="V16" i="18516"/>
  <c r="U16" i="18516"/>
  <c r="T16" i="18516"/>
  <c r="S16" i="18516"/>
  <c r="R16" i="18516"/>
  <c r="Q16" i="18516"/>
  <c r="P16" i="18516"/>
  <c r="O16" i="18516"/>
  <c r="N16" i="18516"/>
  <c r="M16" i="18516"/>
  <c r="L16" i="18516"/>
  <c r="K16" i="18516"/>
  <c r="J16" i="18516"/>
  <c r="I16" i="18516"/>
  <c r="H16" i="18516"/>
  <c r="G16" i="18516"/>
  <c r="F16" i="18516"/>
  <c r="E16" i="18516"/>
  <c r="D16" i="18516"/>
  <c r="C16" i="18516"/>
  <c r="AV44" i="18516"/>
  <c r="AW44" i="18516"/>
  <c r="AV27" i="18516"/>
  <c r="BE42" i="18514"/>
  <c r="BD42" i="18514"/>
  <c r="BE41" i="18514"/>
  <c r="BD41" i="18514"/>
  <c r="BE76" i="18514"/>
  <c r="BD76" i="18514"/>
  <c r="BE40" i="18514"/>
  <c r="BD40" i="18514"/>
  <c r="BD73" i="18514" s="1"/>
  <c r="BE32" i="18514"/>
  <c r="BD32" i="18514"/>
  <c r="BE16" i="18514"/>
  <c r="BD16" i="18514"/>
  <c r="BE12" i="18514"/>
  <c r="BD12" i="18514"/>
  <c r="BC42" i="18514"/>
  <c r="BC76" i="18514"/>
  <c r="BB76" i="18514"/>
  <c r="BC40" i="18514"/>
  <c r="BB40" i="18514"/>
  <c r="BB73" i="18514" s="1"/>
  <c r="BC32" i="18514"/>
  <c r="BB32" i="18514"/>
  <c r="BC16" i="18514"/>
  <c r="BB16" i="18514"/>
  <c r="BC12" i="18514"/>
  <c r="BB12" i="18514"/>
  <c r="I76" i="18521"/>
  <c r="H76" i="18521"/>
  <c r="I32" i="18521"/>
  <c r="H32" i="18521"/>
  <c r="I16" i="18521"/>
  <c r="H16" i="18521"/>
  <c r="I12" i="18521"/>
  <c r="H12" i="18521"/>
  <c r="BA42" i="18518"/>
  <c r="BC77" i="18518"/>
  <c r="BB77" i="18518"/>
  <c r="BC41" i="18518"/>
  <c r="BB41" i="18518"/>
  <c r="BC33" i="18518"/>
  <c r="BB33" i="18518"/>
  <c r="BC16" i="18518"/>
  <c r="BB16" i="18518"/>
  <c r="BC12" i="18518"/>
  <c r="BB12" i="18518"/>
  <c r="AY39" i="18518"/>
  <c r="AX41" i="18518"/>
  <c r="AX74" i="18518" s="1"/>
  <c r="BA77" i="18518"/>
  <c r="AZ77" i="18518"/>
  <c r="BA41" i="18518"/>
  <c r="AZ41" i="18518"/>
  <c r="AZ74" i="18518" s="1"/>
  <c r="BA33" i="18518"/>
  <c r="AZ33" i="18518"/>
  <c r="BA16" i="18518"/>
  <c r="AZ16" i="18518"/>
  <c r="BA12" i="18518"/>
  <c r="AZ12" i="18518"/>
  <c r="AW40" i="18518"/>
  <c r="AV40" i="18518"/>
  <c r="AV41" i="18518" s="1"/>
  <c r="AV74" i="18518" s="1"/>
  <c r="AW27" i="18518"/>
  <c r="AY77" i="18518"/>
  <c r="AX77" i="18518"/>
  <c r="AY33" i="18518"/>
  <c r="AX33" i="18518"/>
  <c r="AY16" i="18518"/>
  <c r="AX16" i="18518"/>
  <c r="AY12" i="18518"/>
  <c r="AX12" i="18518"/>
  <c r="AU43" i="18518"/>
  <c r="AT43" i="18518"/>
  <c r="AU42" i="18518"/>
  <c r="AT42" i="18518"/>
  <c r="AW77" i="18518"/>
  <c r="AV77" i="18518"/>
  <c r="AV33" i="18518"/>
  <c r="AW16" i="18518"/>
  <c r="AV16" i="18518"/>
  <c r="AW12" i="18518"/>
  <c r="AV12" i="18518"/>
  <c r="AS43" i="18518"/>
  <c r="AS10" i="18518"/>
  <c r="AU77" i="18518"/>
  <c r="AT77" i="18518"/>
  <c r="AU41" i="18518"/>
  <c r="AT41" i="18518"/>
  <c r="AT74" i="18518" s="1"/>
  <c r="AU33" i="18518"/>
  <c r="AT33" i="18518"/>
  <c r="AU16" i="18518"/>
  <c r="AT16" i="18518"/>
  <c r="AU12" i="18518"/>
  <c r="AT12" i="18518"/>
  <c r="AQ43" i="18518"/>
  <c r="AQ15" i="18518"/>
  <c r="AQ11" i="18518"/>
  <c r="AR77" i="18518"/>
  <c r="AS41" i="18518"/>
  <c r="AR41" i="18518"/>
  <c r="AR74" i="18518" s="1"/>
  <c r="AS33" i="18518"/>
  <c r="AR33" i="18518"/>
  <c r="AS16" i="18518"/>
  <c r="AR16" i="18518"/>
  <c r="AR12" i="18518"/>
  <c r="AQ77" i="18518"/>
  <c r="AP77" i="18518"/>
  <c r="AQ41" i="18518"/>
  <c r="AP41" i="18518"/>
  <c r="AP74" i="18518" s="1"/>
  <c r="AQ33" i="18518"/>
  <c r="AP33" i="18518"/>
  <c r="AP16" i="18518"/>
  <c r="AP12" i="18518"/>
  <c r="BK47" i="18517"/>
  <c r="BP40" i="18517"/>
  <c r="BP76" i="18517"/>
  <c r="BO76" i="18517"/>
  <c r="BP32" i="18517"/>
  <c r="BO32" i="18517"/>
  <c r="BP16" i="18517"/>
  <c r="BO16" i="18517"/>
  <c r="BP12" i="18517"/>
  <c r="BO12" i="18517"/>
  <c r="AW76" i="18516"/>
  <c r="AV76" i="18516"/>
  <c r="AW40" i="18516"/>
  <c r="AV40" i="18516"/>
  <c r="AV73" i="18516" s="1"/>
  <c r="AW32" i="18516"/>
  <c r="AW12" i="18516"/>
  <c r="AV12" i="18516"/>
  <c r="AU76" i="18516"/>
  <c r="AT76" i="18516"/>
  <c r="AS76" i="18516"/>
  <c r="AR76" i="18516"/>
  <c r="AQ76" i="18516"/>
  <c r="AP76" i="18516"/>
  <c r="AO76" i="18516"/>
  <c r="AN76" i="18516"/>
  <c r="AM76" i="18516"/>
  <c r="AL76" i="18516"/>
  <c r="AU40" i="18516"/>
  <c r="AT40" i="18516"/>
  <c r="AU32" i="18516"/>
  <c r="AT32" i="18516"/>
  <c r="AU12" i="18516"/>
  <c r="AT12" i="18516"/>
  <c r="BA76" i="18514"/>
  <c r="AZ76" i="18514"/>
  <c r="AY76" i="18514"/>
  <c r="AX76" i="18514"/>
  <c r="BA42" i="18514"/>
  <c r="AZ42" i="18514"/>
  <c r="BA41" i="18514"/>
  <c r="AZ41" i="18514"/>
  <c r="AX42" i="18514"/>
  <c r="BA40" i="18514"/>
  <c r="AZ40" i="18514"/>
  <c r="AZ73" i="18514" s="1"/>
  <c r="BA32" i="18514"/>
  <c r="AZ32" i="18514"/>
  <c r="BA16" i="18514"/>
  <c r="AZ16" i="18514"/>
  <c r="BA12" i="18514"/>
  <c r="AZ12" i="18514"/>
  <c r="AY40" i="18514"/>
  <c r="AX40" i="18514"/>
  <c r="AX73" i="18514" s="1"/>
  <c r="AY32" i="18514"/>
  <c r="AX32" i="18514"/>
  <c r="AY16" i="18514"/>
  <c r="AX16" i="18514"/>
  <c r="AY12" i="18514"/>
  <c r="AX12" i="18514"/>
  <c r="BW39" i="18523"/>
  <c r="BW83" i="18523" s="1"/>
  <c r="BW32" i="18523"/>
  <c r="AW44" i="18514"/>
  <c r="AW41" i="18514"/>
  <c r="AW42" i="18514"/>
  <c r="AV42" i="18514"/>
  <c r="AS40" i="18516"/>
  <c r="AR40" i="18516"/>
  <c r="AS32" i="18516"/>
  <c r="AR32" i="18516"/>
  <c r="AS12" i="18516"/>
  <c r="AR12" i="18516"/>
  <c r="AW76" i="18514"/>
  <c r="AV76" i="18514"/>
  <c r="AW40" i="18514"/>
  <c r="AV40" i="18514"/>
  <c r="AV73" i="18514" s="1"/>
  <c r="AW32" i="18514"/>
  <c r="AV32" i="18514"/>
  <c r="AW16" i="18514"/>
  <c r="AV16" i="18514"/>
  <c r="AW12" i="18514"/>
  <c r="AV12" i="18514"/>
  <c r="AT42" i="18514"/>
  <c r="AU42" i="18514"/>
  <c r="AU76" i="18514"/>
  <c r="AT76" i="18514"/>
  <c r="AT40" i="18514"/>
  <c r="AT73" i="18514" s="1"/>
  <c r="AU32" i="18514"/>
  <c r="AT32" i="18514"/>
  <c r="AU16" i="18514"/>
  <c r="AT16" i="18514"/>
  <c r="AU12" i="18514"/>
  <c r="AT12" i="18514"/>
  <c r="AQ42" i="18516"/>
  <c r="AP42" i="18516"/>
  <c r="AQ40" i="18516"/>
  <c r="AP40" i="18516"/>
  <c r="AP73" i="18516" s="1"/>
  <c r="AQ32" i="18516"/>
  <c r="AP32" i="18516"/>
  <c r="AQ12" i="18516"/>
  <c r="AP12" i="18516"/>
  <c r="AS42" i="18514"/>
  <c r="AS41" i="18514"/>
  <c r="AS39" i="18514"/>
  <c r="AR39" i="18514"/>
  <c r="AS76" i="18514"/>
  <c r="AR76" i="18514"/>
  <c r="AR32" i="18514"/>
  <c r="AS32" i="18514"/>
  <c r="AS16" i="18514"/>
  <c r="AR16" i="18514"/>
  <c r="AS12" i="18514"/>
  <c r="AR12" i="18514"/>
  <c r="AQ39" i="18514"/>
  <c r="AP39" i="18514"/>
  <c r="AQ21" i="18514"/>
  <c r="AP21" i="18514"/>
  <c r="AQ76" i="18514"/>
  <c r="AP76" i="18514"/>
  <c r="AQ16" i="18514"/>
  <c r="AP16" i="18514"/>
  <c r="AQ12" i="18514"/>
  <c r="AP12" i="18514"/>
  <c r="AO42" i="18516"/>
  <c r="AO40" i="18516"/>
  <c r="AN40" i="18516"/>
  <c r="AO32" i="18516"/>
  <c r="AN32" i="18516"/>
  <c r="AO12" i="18516"/>
  <c r="AN12" i="18516"/>
  <c r="AM39" i="18516"/>
  <c r="AL39" i="18516"/>
  <c r="AL40" i="18516" s="1"/>
  <c r="AM12" i="18516"/>
  <c r="AL12" i="18516"/>
  <c r="AM32" i="18516"/>
  <c r="AL32" i="18516"/>
  <c r="AO44" i="18514"/>
  <c r="AN44" i="18514"/>
  <c r="AO42" i="18514"/>
  <c r="AN42" i="18514"/>
  <c r="AO41" i="18514"/>
  <c r="AN41" i="18514"/>
  <c r="AO16" i="18514"/>
  <c r="AN16" i="18514"/>
  <c r="AO76" i="18514"/>
  <c r="AN76" i="18514"/>
  <c r="AO40" i="18514"/>
  <c r="AN40" i="18514"/>
  <c r="AN73" i="18514" s="1"/>
  <c r="AO32" i="18514"/>
  <c r="AN32" i="18514"/>
  <c r="AO12" i="18514"/>
  <c r="AN12" i="18514"/>
  <c r="AM76" i="18514"/>
  <c r="AL76" i="18514"/>
  <c r="AL40" i="18514"/>
  <c r="AL73" i="18514" s="1"/>
  <c r="AM32" i="18514"/>
  <c r="AL32" i="18514"/>
  <c r="AM16" i="18514"/>
  <c r="AL16" i="18514"/>
  <c r="AM12" i="18514"/>
  <c r="AL12" i="18514"/>
  <c r="AJ12" i="18514"/>
  <c r="AK12" i="18514"/>
  <c r="AJ16" i="18514"/>
  <c r="AK16" i="18514"/>
  <c r="AJ32" i="18514"/>
  <c r="AK32" i="18514"/>
  <c r="AJ39" i="18514"/>
  <c r="AJ40" i="18514" s="1"/>
  <c r="AJ73" i="18514" s="1"/>
  <c r="AK39" i="18514"/>
  <c r="AK83" i="18514" s="1"/>
  <c r="AK42" i="18514"/>
  <c r="AJ76" i="18514"/>
  <c r="AK76" i="18514"/>
  <c r="O46" i="18519"/>
  <c r="N46" i="18519"/>
  <c r="O44" i="18519"/>
  <c r="N44" i="18519"/>
  <c r="O42" i="18519"/>
  <c r="N42" i="18519"/>
  <c r="O41" i="18519"/>
  <c r="N41" i="18519"/>
  <c r="O39" i="18519"/>
  <c r="N39" i="18519"/>
  <c r="O38" i="18519"/>
  <c r="N38" i="18519"/>
  <c r="O37" i="18519"/>
  <c r="N37" i="18519"/>
  <c r="O31" i="18519"/>
  <c r="N31" i="18519"/>
  <c r="O30" i="18519"/>
  <c r="N30" i="18519"/>
  <c r="O29" i="18519"/>
  <c r="N29" i="18519"/>
  <c r="O28" i="18519"/>
  <c r="N28" i="18519"/>
  <c r="O27" i="18519"/>
  <c r="N27" i="18519"/>
  <c r="O26" i="18519"/>
  <c r="N26" i="18519"/>
  <c r="O25" i="18519"/>
  <c r="N25" i="18519"/>
  <c r="O24" i="18519"/>
  <c r="N24" i="18519"/>
  <c r="O23" i="18519"/>
  <c r="N23" i="18519"/>
  <c r="O22" i="18519"/>
  <c r="N22" i="18519"/>
  <c r="O21" i="18519"/>
  <c r="N21" i="18519"/>
  <c r="O20" i="18519"/>
  <c r="N20" i="18519"/>
  <c r="O19" i="18519"/>
  <c r="N19" i="18519"/>
  <c r="O18" i="18519"/>
  <c r="N18" i="18519"/>
  <c r="O15" i="18519"/>
  <c r="N15" i="18519"/>
  <c r="O14" i="18519"/>
  <c r="N14" i="18519"/>
  <c r="O11" i="18519"/>
  <c r="N11" i="18519"/>
  <c r="O10" i="18519"/>
  <c r="N10" i="18519"/>
  <c r="M76" i="18519"/>
  <c r="L76" i="18519"/>
  <c r="M43" i="18519"/>
  <c r="M45" i="18519" s="1"/>
  <c r="L43" i="18519"/>
  <c r="L45" i="18519" s="1"/>
  <c r="M42" i="18519"/>
  <c r="L42" i="18519"/>
  <c r="M40" i="18519"/>
  <c r="L40" i="18519"/>
  <c r="M33" i="18519"/>
  <c r="M49" i="18519" s="1"/>
  <c r="M32" i="18519"/>
  <c r="L32" i="18519"/>
  <c r="M16" i="18519"/>
  <c r="L16" i="18519"/>
  <c r="M12" i="18519"/>
  <c r="L12" i="18519"/>
  <c r="AJ12" i="18516"/>
  <c r="AK12" i="18516"/>
  <c r="AJ32" i="18516"/>
  <c r="AK32" i="18516"/>
  <c r="AJ39" i="18516"/>
  <c r="AJ40" i="18516" s="1"/>
  <c r="AJ73" i="18516" s="1"/>
  <c r="AK39" i="18516"/>
  <c r="AJ41" i="18516"/>
  <c r="AK41" i="18516"/>
  <c r="AJ42" i="18516"/>
  <c r="AK42" i="18516"/>
  <c r="AJ76" i="18516"/>
  <c r="AK76" i="18516"/>
  <c r="AH12" i="18516"/>
  <c r="AI12" i="18516"/>
  <c r="AH32" i="18516"/>
  <c r="AI32" i="18516"/>
  <c r="AI39" i="18516"/>
  <c r="AI83" i="18516" s="1"/>
  <c r="AH40" i="18516"/>
  <c r="AH73" i="18516" s="1"/>
  <c r="AH76" i="18516"/>
  <c r="AI76" i="18516"/>
  <c r="AF12" i="18516"/>
  <c r="AG12" i="18516"/>
  <c r="AF32" i="18516"/>
  <c r="AG32" i="18516"/>
  <c r="AF39" i="18516"/>
  <c r="AF40" i="18516" s="1"/>
  <c r="AF73" i="18516" s="1"/>
  <c r="AG39" i="18516"/>
  <c r="AF42" i="18516"/>
  <c r="AG42" i="18516"/>
  <c r="AF76" i="18516"/>
  <c r="AG76" i="18516"/>
  <c r="AE11" i="18518"/>
  <c r="AD12" i="18518"/>
  <c r="AF12" i="18518"/>
  <c r="AG12" i="18518"/>
  <c r="AH12" i="18518"/>
  <c r="AI12" i="18518"/>
  <c r="AJ12" i="18518"/>
  <c r="AK12" i="18518"/>
  <c r="AL12" i="18518"/>
  <c r="AN12" i="18518"/>
  <c r="AO12" i="18518"/>
  <c r="AH14" i="18518"/>
  <c r="AI14" i="18518"/>
  <c r="AH15" i="18518"/>
  <c r="AD16" i="18518"/>
  <c r="AE16" i="18518"/>
  <c r="AF16" i="18518"/>
  <c r="AG16" i="18518"/>
  <c r="AJ16" i="18518"/>
  <c r="AK16" i="18518"/>
  <c r="AL16" i="18518"/>
  <c r="AN16" i="18518"/>
  <c r="AO16" i="18518"/>
  <c r="AD33" i="18518"/>
  <c r="AE33" i="18518"/>
  <c r="AF33" i="18518"/>
  <c r="AG33" i="18518"/>
  <c r="AH33" i="18518"/>
  <c r="AI33" i="18518"/>
  <c r="AJ33" i="18518"/>
  <c r="AK33" i="18518"/>
  <c r="AL33" i="18518"/>
  <c r="AM33" i="18518"/>
  <c r="AN33" i="18518"/>
  <c r="AO33" i="18518"/>
  <c r="AH40" i="18518"/>
  <c r="AH41" i="18518" s="1"/>
  <c r="AH74" i="18518" s="1"/>
  <c r="AI40" i="18518"/>
  <c r="AJ40" i="18518"/>
  <c r="AJ41" i="18518" s="1"/>
  <c r="AJ74" i="18518" s="1"/>
  <c r="AK40" i="18518"/>
  <c r="AD41" i="18518"/>
  <c r="AD74" i="18518" s="1"/>
  <c r="AF41" i="18518"/>
  <c r="AF74" i="18518" s="1"/>
  <c r="AG41" i="18518"/>
  <c r="AL41" i="18518"/>
  <c r="AL74" i="18518" s="1"/>
  <c r="AN41" i="18518"/>
  <c r="AO41" i="18518"/>
  <c r="AD77" i="18518"/>
  <c r="AF77" i="18518"/>
  <c r="AG77" i="18518"/>
  <c r="AJ77" i="18518"/>
  <c r="AK77" i="18518"/>
  <c r="AL77" i="18518"/>
  <c r="AN77" i="18518"/>
  <c r="AO77" i="18518"/>
  <c r="AD12" i="18516"/>
  <c r="AE12" i="18516"/>
  <c r="AD32" i="18516"/>
  <c r="AE32" i="18516"/>
  <c r="AD40" i="18516"/>
  <c r="AD73" i="18516" s="1"/>
  <c r="AE40" i="18516"/>
  <c r="AD44" i="18516"/>
  <c r="AE44" i="18516"/>
  <c r="AD76" i="18516"/>
  <c r="AE76" i="18516"/>
  <c r="AA76" i="18524"/>
  <c r="Z76" i="18524"/>
  <c r="AA42" i="18524"/>
  <c r="Z42" i="18524"/>
  <c r="AA40" i="18524"/>
  <c r="Z40" i="18524"/>
  <c r="Z73" i="18524" s="1"/>
  <c r="Z32" i="18524"/>
  <c r="AA23" i="18524"/>
  <c r="AG23" i="18524" s="1"/>
  <c r="AA16" i="18524"/>
  <c r="Z16" i="18524"/>
  <c r="AA12" i="18524"/>
  <c r="Z12" i="18524"/>
  <c r="X76" i="18524"/>
  <c r="W76" i="18524"/>
  <c r="X40" i="18524"/>
  <c r="W40" i="18524"/>
  <c r="W73" i="18524" s="1"/>
  <c r="X32" i="18524"/>
  <c r="W32" i="18524"/>
  <c r="X16" i="18524"/>
  <c r="W16" i="18524"/>
  <c r="X12" i="18524"/>
  <c r="W12" i="18524"/>
  <c r="U76" i="18524"/>
  <c r="T76" i="18524"/>
  <c r="T42" i="18524"/>
  <c r="U40" i="18524"/>
  <c r="T40" i="18524"/>
  <c r="T73" i="18524" s="1"/>
  <c r="U32" i="18524"/>
  <c r="T32" i="18524"/>
  <c r="U16" i="18524"/>
  <c r="T16" i="18524"/>
  <c r="U12" i="18524"/>
  <c r="T12" i="18524"/>
  <c r="BV12" i="18523"/>
  <c r="BW12" i="18523"/>
  <c r="BV16" i="18523"/>
  <c r="BW16" i="18523"/>
  <c r="BV32" i="18523"/>
  <c r="BV40" i="18523"/>
  <c r="BV43" i="18523" s="1"/>
  <c r="BV76" i="18523"/>
  <c r="BW76" i="18523"/>
  <c r="CJ74" i="18523" l="1"/>
  <c r="CJ51" i="18523"/>
  <c r="CJ47" i="18523"/>
  <c r="BW58" i="18516"/>
  <c r="BD51" i="18516"/>
  <c r="AH72" i="18518"/>
  <c r="BW40" i="18523"/>
  <c r="BW73" i="18523" s="1"/>
  <c r="AA43" i="18524"/>
  <c r="AA45" i="18524" s="1"/>
  <c r="AA74" i="18524" s="1"/>
  <c r="AS59" i="18518"/>
  <c r="AE69" i="18518"/>
  <c r="AE12" i="18518"/>
  <c r="AY83" i="18518"/>
  <c r="BK83" i="18518"/>
  <c r="AW33" i="18518"/>
  <c r="AW63" i="18518" s="1"/>
  <c r="AZ71" i="18516"/>
  <c r="BK82" i="18518"/>
  <c r="AG81" i="18524"/>
  <c r="U61" i="18524"/>
  <c r="U60" i="18524"/>
  <c r="U79" i="18524"/>
  <c r="U63" i="18524"/>
  <c r="W71" i="18524"/>
  <c r="W62" i="18524"/>
  <c r="AA32" i="18524"/>
  <c r="T63" i="18524"/>
  <c r="T60" i="18524"/>
  <c r="T61" i="18524"/>
  <c r="AG82" i="18524"/>
  <c r="U80" i="18524"/>
  <c r="U71" i="18524"/>
  <c r="U62" i="18524"/>
  <c r="X61" i="18524"/>
  <c r="X79" i="18524"/>
  <c r="X63" i="18524"/>
  <c r="X60" i="18524"/>
  <c r="X84" i="18524"/>
  <c r="X73" i="18524"/>
  <c r="AA84" i="18524"/>
  <c r="AA73" i="18524"/>
  <c r="W61" i="18524"/>
  <c r="W63" i="18524"/>
  <c r="W60" i="18524"/>
  <c r="X80" i="18524"/>
  <c r="X71" i="18524"/>
  <c r="X62" i="18524"/>
  <c r="U84" i="18524"/>
  <c r="U73" i="18524"/>
  <c r="Z71" i="18524"/>
  <c r="Z62" i="18524"/>
  <c r="Z69" i="18524"/>
  <c r="Z65" i="18524"/>
  <c r="Z66" i="18524"/>
  <c r="U78" i="18524"/>
  <c r="U69" i="18524"/>
  <c r="U65" i="18524"/>
  <c r="U66" i="18524"/>
  <c r="AA78" i="18524"/>
  <c r="AA66" i="18524"/>
  <c r="AA69" i="18524"/>
  <c r="AA65" i="18524"/>
  <c r="T71" i="18524"/>
  <c r="T62" i="18524"/>
  <c r="W65" i="18524"/>
  <c r="W69" i="18524"/>
  <c r="W66" i="18524"/>
  <c r="Z61" i="18524"/>
  <c r="Z63" i="18524"/>
  <c r="Z60" i="18524"/>
  <c r="T69" i="18524"/>
  <c r="T65" i="18524"/>
  <c r="T66" i="18524"/>
  <c r="X78" i="18524"/>
  <c r="X69" i="18524"/>
  <c r="X65" i="18524"/>
  <c r="X66" i="18524"/>
  <c r="AA79" i="18524"/>
  <c r="AA63" i="18524"/>
  <c r="AA60" i="18524"/>
  <c r="BI69" i="18514"/>
  <c r="BI79" i="18514"/>
  <c r="AZ69" i="18514"/>
  <c r="AZ66" i="18514"/>
  <c r="AZ65" i="18514"/>
  <c r="AP69" i="18514"/>
  <c r="AP66" i="18514"/>
  <c r="AP65" i="18514"/>
  <c r="BA69" i="18514"/>
  <c r="BA66" i="18514"/>
  <c r="BA65" i="18514"/>
  <c r="BA78" i="18514"/>
  <c r="AL69" i="18514"/>
  <c r="AL66" i="18514"/>
  <c r="AL65" i="18514"/>
  <c r="AO80" i="18514"/>
  <c r="AO71" i="18514"/>
  <c r="AO62" i="18514"/>
  <c r="AR69" i="18514"/>
  <c r="AR66" i="18514"/>
  <c r="AR65" i="18514"/>
  <c r="AT71" i="18514"/>
  <c r="AT62" i="18514"/>
  <c r="AW80" i="18514"/>
  <c r="AW71" i="18514"/>
  <c r="AW62" i="18514"/>
  <c r="AY43" i="18514"/>
  <c r="AY45" i="18514" s="1"/>
  <c r="AY74" i="18514" s="1"/>
  <c r="AY84" i="18514"/>
  <c r="AY73" i="18514"/>
  <c r="BD69" i="18514"/>
  <c r="BD66" i="18514"/>
  <c r="BD65" i="18514"/>
  <c r="BG79" i="18514"/>
  <c r="BG63" i="18514"/>
  <c r="BG61" i="18514"/>
  <c r="BG60" i="18514"/>
  <c r="AR63" i="18514"/>
  <c r="AR61" i="18514"/>
  <c r="AR60" i="18514"/>
  <c r="BG71" i="18514"/>
  <c r="BG62" i="18514"/>
  <c r="BG80" i="18514"/>
  <c r="AM60" i="18514"/>
  <c r="AM79" i="18514"/>
  <c r="AM61" i="18514"/>
  <c r="AM63" i="18514"/>
  <c r="AQ78" i="18514"/>
  <c r="AQ69" i="18514"/>
  <c r="AQ66" i="18514"/>
  <c r="AQ65" i="18514"/>
  <c r="AS63" i="18514"/>
  <c r="AS61" i="18514"/>
  <c r="AS60" i="18514"/>
  <c r="AS79" i="18514"/>
  <c r="AZ63" i="18514"/>
  <c r="AZ61" i="18514"/>
  <c r="AZ60" i="18514"/>
  <c r="BB63" i="18514"/>
  <c r="BB61" i="18514"/>
  <c r="BB60" i="18514"/>
  <c r="BE79" i="18514"/>
  <c r="BE63" i="18514"/>
  <c r="BE61" i="18514"/>
  <c r="BE60" i="18514"/>
  <c r="AU80" i="18514"/>
  <c r="AU71" i="18514"/>
  <c r="AU62" i="18514"/>
  <c r="AL71" i="18514"/>
  <c r="AL62" i="18514"/>
  <c r="AP63" i="18514"/>
  <c r="AP60" i="18514"/>
  <c r="AS80" i="18514"/>
  <c r="AS71" i="18514"/>
  <c r="AS62" i="18514"/>
  <c r="BA79" i="18514"/>
  <c r="BA63" i="18514"/>
  <c r="BA61" i="18514"/>
  <c r="BA60" i="18514"/>
  <c r="BC79" i="18514"/>
  <c r="BC63" i="18514"/>
  <c r="BC61" i="18514"/>
  <c r="BC60" i="18514"/>
  <c r="BD71" i="18514"/>
  <c r="BD62" i="18514"/>
  <c r="BG73" i="18514"/>
  <c r="BG84" i="18514"/>
  <c r="AW84" i="18514"/>
  <c r="AW73" i="18514"/>
  <c r="AM62" i="18514"/>
  <c r="AM80" i="18514"/>
  <c r="AM71" i="18514"/>
  <c r="AN63" i="18514"/>
  <c r="AN61" i="18514"/>
  <c r="AN60" i="18514"/>
  <c r="AQ63" i="18514"/>
  <c r="AQ60" i="18514"/>
  <c r="AQ79" i="18514"/>
  <c r="AR71" i="18514"/>
  <c r="AR62" i="18514"/>
  <c r="AX69" i="18514"/>
  <c r="AX66" i="18514"/>
  <c r="AX65" i="18514"/>
  <c r="AZ71" i="18514"/>
  <c r="AZ62" i="18514"/>
  <c r="BB71" i="18514"/>
  <c r="BB62" i="18514"/>
  <c r="BE71" i="18514"/>
  <c r="BE62" i="18514"/>
  <c r="BE80" i="18514"/>
  <c r="AK80" i="18514"/>
  <c r="AK71" i="18514"/>
  <c r="AK62" i="18514"/>
  <c r="AO63" i="18514"/>
  <c r="AO61" i="18514"/>
  <c r="AO60" i="18514"/>
  <c r="AO79" i="18514"/>
  <c r="AY65" i="18514"/>
  <c r="AY78" i="18514"/>
  <c r="AY69" i="18514"/>
  <c r="AY66" i="18514"/>
  <c r="BA80" i="18514"/>
  <c r="BA71" i="18514"/>
  <c r="BA62" i="18514"/>
  <c r="BC71" i="18514"/>
  <c r="BC62" i="18514"/>
  <c r="BC80" i="18514"/>
  <c r="BB69" i="18514"/>
  <c r="BB66" i="18514"/>
  <c r="BB65" i="18514"/>
  <c r="AJ71" i="18514"/>
  <c r="AJ62" i="18514"/>
  <c r="AV69" i="18514"/>
  <c r="AV66" i="18514"/>
  <c r="AV65" i="18514"/>
  <c r="AX63" i="18514"/>
  <c r="AX60" i="18514"/>
  <c r="AX61" i="18514"/>
  <c r="BE73" i="18514"/>
  <c r="BE84" i="18514"/>
  <c r="BI65" i="18514"/>
  <c r="AL63" i="18514"/>
  <c r="AL60" i="18514"/>
  <c r="AL61" i="18514"/>
  <c r="BD63" i="18514"/>
  <c r="BD61" i="18514"/>
  <c r="BD60" i="18514"/>
  <c r="AK79" i="18514"/>
  <c r="AK63" i="18514"/>
  <c r="AK61" i="18514"/>
  <c r="AK60" i="18514"/>
  <c r="AP32" i="18514"/>
  <c r="AT69" i="18514"/>
  <c r="AT66" i="18514"/>
  <c r="AT65" i="18514"/>
  <c r="AW78" i="18514"/>
  <c r="AW69" i="18514"/>
  <c r="AW66" i="18514"/>
  <c r="AW65" i="18514"/>
  <c r="AY79" i="18514"/>
  <c r="AY63" i="18514"/>
  <c r="AY61" i="18514"/>
  <c r="AY60" i="18514"/>
  <c r="BA73" i="18514"/>
  <c r="BA84" i="18514"/>
  <c r="BC73" i="18514"/>
  <c r="BC84" i="18514"/>
  <c r="BI60" i="18514"/>
  <c r="AS78" i="18514"/>
  <c r="AS69" i="18514"/>
  <c r="AS66" i="18514"/>
  <c r="AS65" i="18514"/>
  <c r="AJ63" i="18514"/>
  <c r="AJ61" i="18514"/>
  <c r="AJ60" i="18514"/>
  <c r="AN69" i="18514"/>
  <c r="AN66" i="18514"/>
  <c r="AN65" i="18514"/>
  <c r="AS40" i="18514"/>
  <c r="AS43" i="18514" s="1"/>
  <c r="AS45" i="18514" s="1"/>
  <c r="AS74" i="18514" s="1"/>
  <c r="AS83" i="18514"/>
  <c r="AU78" i="18514"/>
  <c r="AU69" i="18514"/>
  <c r="AU66" i="18514"/>
  <c r="AU65" i="18514"/>
  <c r="AV63" i="18514"/>
  <c r="AV61" i="18514"/>
  <c r="AV60" i="18514"/>
  <c r="AX71" i="18514"/>
  <c r="AX62" i="18514"/>
  <c r="BF69" i="18514"/>
  <c r="BF66" i="18514"/>
  <c r="BF65" i="18514"/>
  <c r="BE69" i="18514"/>
  <c r="BE66" i="18514"/>
  <c r="BE65" i="18514"/>
  <c r="BE78" i="18514"/>
  <c r="BC69" i="18514"/>
  <c r="BC66" i="18514"/>
  <c r="BC65" i="18514"/>
  <c r="BC78" i="18514"/>
  <c r="AK78" i="18514"/>
  <c r="AK69" i="18514"/>
  <c r="AK66" i="18514"/>
  <c r="AK65" i="18514"/>
  <c r="AO78" i="18514"/>
  <c r="AO69" i="18514"/>
  <c r="AO66" i="18514"/>
  <c r="AO65" i="18514"/>
  <c r="AT63" i="18514"/>
  <c r="AT61" i="18514"/>
  <c r="AT60" i="18514"/>
  <c r="AW79" i="18514"/>
  <c r="AW63" i="18514"/>
  <c r="AW61" i="18514"/>
  <c r="AW60" i="18514"/>
  <c r="AY71" i="18514"/>
  <c r="AY62" i="18514"/>
  <c r="AY80" i="18514"/>
  <c r="BG69" i="18514"/>
  <c r="BG66" i="18514"/>
  <c r="BG65" i="18514"/>
  <c r="BG78" i="18514"/>
  <c r="AM66" i="18514"/>
  <c r="AM78" i="18514"/>
  <c r="AM69" i="18514"/>
  <c r="AM65" i="18514"/>
  <c r="BF71" i="18514"/>
  <c r="BF62" i="18514"/>
  <c r="AO84" i="18514"/>
  <c r="AO73" i="18514"/>
  <c r="AJ69" i="18514"/>
  <c r="AJ66" i="18514"/>
  <c r="AJ65" i="18514"/>
  <c r="AN71" i="18514"/>
  <c r="AN62" i="18514"/>
  <c r="AQ40" i="18514"/>
  <c r="AQ83" i="18514"/>
  <c r="AU63" i="18514"/>
  <c r="AU61" i="18514"/>
  <c r="AU60" i="18514"/>
  <c r="AU79" i="18514"/>
  <c r="AV71" i="18514"/>
  <c r="AV62" i="18514"/>
  <c r="BF63" i="18514"/>
  <c r="BF61" i="18514"/>
  <c r="BF60" i="18514"/>
  <c r="CI68" i="18523"/>
  <c r="CI58" i="18523"/>
  <c r="BV63" i="18523"/>
  <c r="BV60" i="18523"/>
  <c r="BV61" i="18523"/>
  <c r="BV71" i="18523"/>
  <c r="BV62" i="18523"/>
  <c r="BW79" i="18523"/>
  <c r="BW63" i="18523"/>
  <c r="BW60" i="18523"/>
  <c r="BW61" i="18523"/>
  <c r="BW78" i="18523"/>
  <c r="BW66" i="18523"/>
  <c r="BW65" i="18523"/>
  <c r="BW69" i="18523"/>
  <c r="BW80" i="18523"/>
  <c r="BW71" i="18523"/>
  <c r="BW62" i="18523"/>
  <c r="BV69" i="18523"/>
  <c r="BV66" i="18523"/>
  <c r="BV65" i="18523"/>
  <c r="BV45" i="18523"/>
  <c r="BV74" i="18523" s="1"/>
  <c r="BV73" i="18523"/>
  <c r="BV68" i="18516"/>
  <c r="AK83" i="18516"/>
  <c r="BV58" i="18516"/>
  <c r="BA83" i="18516"/>
  <c r="CS47" i="18517"/>
  <c r="CS51" i="18517"/>
  <c r="CS74" i="18517"/>
  <c r="BS62" i="18517"/>
  <c r="BS71" i="18517"/>
  <c r="BP73" i="18517"/>
  <c r="BT62" i="18517"/>
  <c r="BT80" i="18517"/>
  <c r="BT71" i="18517"/>
  <c r="BT65" i="18517"/>
  <c r="BT66" i="18517"/>
  <c r="BT78" i="18517"/>
  <c r="BT69" i="18517"/>
  <c r="BU43" i="18517"/>
  <c r="BU45" i="18517" s="1"/>
  <c r="BR78" i="18517"/>
  <c r="BR66" i="18517"/>
  <c r="BR65" i="18517"/>
  <c r="BR69" i="18517"/>
  <c r="BQ33" i="18517"/>
  <c r="BQ49" i="18517" s="1"/>
  <c r="BQ62" i="18517"/>
  <c r="BQ71" i="18517"/>
  <c r="BQ65" i="18517"/>
  <c r="BQ66" i="18517"/>
  <c r="BQ69" i="18517"/>
  <c r="BX66" i="18517"/>
  <c r="BX69" i="18517"/>
  <c r="BX65" i="18517"/>
  <c r="BX78" i="18517"/>
  <c r="BR80" i="18517"/>
  <c r="BR62" i="18517"/>
  <c r="BR71" i="18517"/>
  <c r="BO69" i="18517"/>
  <c r="BO65" i="18517"/>
  <c r="BO66" i="18517"/>
  <c r="BV73" i="18517"/>
  <c r="BV84" i="18517"/>
  <c r="BV61" i="18517"/>
  <c r="BV79" i="18517"/>
  <c r="BV60" i="18517"/>
  <c r="BV63" i="18517"/>
  <c r="BW61" i="18517"/>
  <c r="BW60" i="18517"/>
  <c r="BW63" i="18517"/>
  <c r="BW66" i="18517"/>
  <c r="BW69" i="18517"/>
  <c r="BW65" i="18517"/>
  <c r="BP69" i="18517"/>
  <c r="BP65" i="18517"/>
  <c r="BP66" i="18517"/>
  <c r="BP78" i="18517"/>
  <c r="BU61" i="18517"/>
  <c r="BU60" i="18517"/>
  <c r="BU63" i="18517"/>
  <c r="BX61" i="18517"/>
  <c r="BX79" i="18517"/>
  <c r="BX60" i="18517"/>
  <c r="BX63" i="18517"/>
  <c r="BO60" i="18517"/>
  <c r="BO63" i="18517"/>
  <c r="BO61" i="18517"/>
  <c r="BT84" i="18517"/>
  <c r="BT73" i="18517"/>
  <c r="BT63" i="18517"/>
  <c r="BT79" i="18517"/>
  <c r="BT61" i="18517"/>
  <c r="BT60" i="18517"/>
  <c r="BW62" i="18517"/>
  <c r="BW71" i="18517"/>
  <c r="BP60" i="18517"/>
  <c r="BP63" i="18517"/>
  <c r="BP79" i="18517"/>
  <c r="BP61" i="18517"/>
  <c r="BS43" i="18517"/>
  <c r="BS45" i="18517" s="1"/>
  <c r="BS74" i="18517" s="1"/>
  <c r="BS73" i="18517"/>
  <c r="BS63" i="18517"/>
  <c r="BS61" i="18517"/>
  <c r="BS60" i="18517"/>
  <c r="BX71" i="18517"/>
  <c r="BX80" i="18517"/>
  <c r="BX62" i="18517"/>
  <c r="BV43" i="18517"/>
  <c r="BV45" i="18517" s="1"/>
  <c r="BO62" i="18517"/>
  <c r="BO71" i="18517"/>
  <c r="BR84" i="18517"/>
  <c r="BR73" i="18517"/>
  <c r="BR63" i="18517"/>
  <c r="BR79" i="18517"/>
  <c r="BR61" i="18517"/>
  <c r="BR60" i="18517"/>
  <c r="BS69" i="18517"/>
  <c r="BS66" i="18517"/>
  <c r="BS65" i="18517"/>
  <c r="BP71" i="18517"/>
  <c r="BP80" i="18517"/>
  <c r="BP62" i="18517"/>
  <c r="BQ60" i="18517"/>
  <c r="BQ63" i="18517"/>
  <c r="BQ61" i="18517"/>
  <c r="BX84" i="18517"/>
  <c r="BX73" i="18517"/>
  <c r="BV62" i="18517"/>
  <c r="BV80" i="18517"/>
  <c r="BV71" i="18517"/>
  <c r="BV66" i="18517"/>
  <c r="BV69" i="18517"/>
  <c r="BV78" i="18517"/>
  <c r="BV65" i="18517"/>
  <c r="BW43" i="18517"/>
  <c r="BW45" i="18517" s="1"/>
  <c r="BZ43" i="18517"/>
  <c r="BZ45" i="18517" s="1"/>
  <c r="BZ74" i="18517" s="1"/>
  <c r="BU62" i="18517"/>
  <c r="BU71" i="18517"/>
  <c r="BU66" i="18517"/>
  <c r="BU69" i="18517"/>
  <c r="BU65" i="18517"/>
  <c r="BX43" i="18517"/>
  <c r="BX45" i="18517" s="1"/>
  <c r="BX74" i="18517" s="1"/>
  <c r="BI47" i="18514"/>
  <c r="BH47" i="18514"/>
  <c r="BH51" i="18514"/>
  <c r="BI61" i="18514"/>
  <c r="BI63" i="18514"/>
  <c r="BK59" i="18518"/>
  <c r="AK72" i="18518"/>
  <c r="AK81" i="18518"/>
  <c r="AK63" i="18518"/>
  <c r="AS62" i="18518"/>
  <c r="AS80" i="18518"/>
  <c r="AS61" i="18518"/>
  <c r="BA72" i="18518"/>
  <c r="BA81" i="18518"/>
  <c r="BA63" i="18518"/>
  <c r="AN64" i="18518"/>
  <c r="AN62" i="18518"/>
  <c r="AN61" i="18518"/>
  <c r="AT70" i="18518"/>
  <c r="AT67" i="18518"/>
  <c r="AT66" i="18518"/>
  <c r="AN44" i="18518"/>
  <c r="AN46" i="18518" s="1"/>
  <c r="AN75" i="18518" s="1"/>
  <c r="AN74" i="18518"/>
  <c r="AI81" i="18518"/>
  <c r="AI63" i="18518"/>
  <c r="AI72" i="18518"/>
  <c r="AL64" i="18518"/>
  <c r="AL62" i="18518"/>
  <c r="AL61" i="18518"/>
  <c r="AI77" i="18518"/>
  <c r="AI59" i="18518"/>
  <c r="AH67" i="18518"/>
  <c r="AS81" i="18518"/>
  <c r="AS63" i="18518"/>
  <c r="AU79" i="18518"/>
  <c r="AU70" i="18518"/>
  <c r="AU67" i="18518"/>
  <c r="AU66" i="18518"/>
  <c r="AX61" i="18518"/>
  <c r="AX64" i="18518"/>
  <c r="AX62" i="18518"/>
  <c r="AW41" i="18518"/>
  <c r="AW84" i="18518"/>
  <c r="BA44" i="18518"/>
  <c r="BA46" i="18518" s="1"/>
  <c r="BA75" i="18518" s="1"/>
  <c r="BA74" i="18518"/>
  <c r="BA85" i="18518"/>
  <c r="BC80" i="18518"/>
  <c r="BC64" i="18518"/>
  <c r="BC62" i="18518"/>
  <c r="BC61" i="18518"/>
  <c r="AO64" i="18518"/>
  <c r="AO80" i="18518"/>
  <c r="AO62" i="18518"/>
  <c r="AO61" i="18518"/>
  <c r="AW81" i="18518"/>
  <c r="BB64" i="18518"/>
  <c r="BB62" i="18518"/>
  <c r="BB61" i="18518"/>
  <c r="BJ69" i="18518"/>
  <c r="AM41" i="18518"/>
  <c r="AM83" i="18518"/>
  <c r="AK80" i="18518"/>
  <c r="AK62" i="18518"/>
  <c r="AK61" i="18518"/>
  <c r="AK64" i="18518"/>
  <c r="AH59" i="18518"/>
  <c r="AG66" i="18518"/>
  <c r="AG70" i="18518"/>
  <c r="AG67" i="18518"/>
  <c r="AG79" i="18518"/>
  <c r="AQ85" i="18518"/>
  <c r="AQ74" i="18518"/>
  <c r="AT64" i="18518"/>
  <c r="AT62" i="18518"/>
  <c r="AT61" i="18518"/>
  <c r="AY80" i="18518"/>
  <c r="AY62" i="18518"/>
  <c r="AY64" i="18518"/>
  <c r="AY61" i="18518"/>
  <c r="AZ70" i="18518"/>
  <c r="AZ67" i="18518"/>
  <c r="AZ66" i="18518"/>
  <c r="BB72" i="18518"/>
  <c r="BB63" i="18518"/>
  <c r="AX67" i="18518"/>
  <c r="AX66" i="18518"/>
  <c r="AX70" i="18518"/>
  <c r="AI41" i="18518"/>
  <c r="AI84" i="18518"/>
  <c r="AQ81" i="18518"/>
  <c r="AO79" i="18518"/>
  <c r="AO67" i="18518"/>
  <c r="AO66" i="18518"/>
  <c r="AO70" i="18518"/>
  <c r="BC72" i="18518"/>
  <c r="BC63" i="18518"/>
  <c r="BC81" i="18518"/>
  <c r="AN72" i="18518"/>
  <c r="AN63" i="18518"/>
  <c r="AF72" i="18518"/>
  <c r="AF63" i="18518"/>
  <c r="AG80" i="18518"/>
  <c r="AG62" i="18518"/>
  <c r="AG61" i="18518"/>
  <c r="AG64" i="18518"/>
  <c r="AN70" i="18518"/>
  <c r="AN67" i="18518"/>
  <c r="AN66" i="18518"/>
  <c r="AD70" i="18518"/>
  <c r="AD67" i="18518"/>
  <c r="AD66" i="18518"/>
  <c r="AT72" i="18518"/>
  <c r="AT63" i="18518"/>
  <c r="AV70" i="18518"/>
  <c r="AV67" i="18518"/>
  <c r="AV66" i="18518"/>
  <c r="AY72" i="18518"/>
  <c r="AY81" i="18518"/>
  <c r="AY63" i="18518"/>
  <c r="AZ64" i="18518"/>
  <c r="AZ62" i="18518"/>
  <c r="AZ61" i="18518"/>
  <c r="BB44" i="18518"/>
  <c r="BB46" i="18518" s="1"/>
  <c r="BB75" i="18518" s="1"/>
  <c r="BB74" i="18518"/>
  <c r="AJ70" i="18518"/>
  <c r="AJ67" i="18518"/>
  <c r="AJ66" i="18518"/>
  <c r="AW80" i="18518"/>
  <c r="AW64" i="18518"/>
  <c r="AW61" i="18518"/>
  <c r="AW62" i="18518"/>
  <c r="AH63" i="18518"/>
  <c r="AH69" i="18518"/>
  <c r="AY66" i="18518"/>
  <c r="AY70" i="18518"/>
  <c r="AY79" i="18518"/>
  <c r="AY67" i="18518"/>
  <c r="AG85" i="18518"/>
  <c r="AG74" i="18518"/>
  <c r="AO81" i="18518"/>
  <c r="AO63" i="18518"/>
  <c r="AO72" i="18518"/>
  <c r="AJ64" i="18518"/>
  <c r="AJ62" i="18518"/>
  <c r="AJ61" i="18518"/>
  <c r="AS85" i="18518"/>
  <c r="AS74" i="18518"/>
  <c r="AX63" i="18518"/>
  <c r="AX72" i="18518"/>
  <c r="AM63" i="18518"/>
  <c r="AM81" i="18518"/>
  <c r="AE81" i="18518"/>
  <c r="AE63" i="18518"/>
  <c r="AF64" i="18518"/>
  <c r="AF62" i="18518"/>
  <c r="AF61" i="18518"/>
  <c r="AL70" i="18518"/>
  <c r="AL67" i="18518"/>
  <c r="AL66" i="18518"/>
  <c r="AP66" i="18518"/>
  <c r="AP70" i="18518"/>
  <c r="AP67" i="18518"/>
  <c r="AR70" i="18518"/>
  <c r="AR67" i="18518"/>
  <c r="AR66" i="18518"/>
  <c r="AQ12" i="18518"/>
  <c r="AQ69" i="18518"/>
  <c r="AU81" i="18518"/>
  <c r="AU72" i="18518"/>
  <c r="AU63" i="18518"/>
  <c r="AW67" i="18518"/>
  <c r="AW79" i="18518"/>
  <c r="AW66" i="18518"/>
  <c r="AW70" i="18518"/>
  <c r="BA80" i="18518"/>
  <c r="BA64" i="18518"/>
  <c r="BA62" i="18518"/>
  <c r="BA61" i="18518"/>
  <c r="BC74" i="18518"/>
  <c r="BC85" i="18518"/>
  <c r="AD64" i="18518"/>
  <c r="AD62" i="18518"/>
  <c r="AD61" i="18518"/>
  <c r="AP72" i="18518"/>
  <c r="AP63" i="18518"/>
  <c r="AU85" i="18518"/>
  <c r="AU74" i="18518"/>
  <c r="BC70" i="18518"/>
  <c r="BC67" i="18518"/>
  <c r="BC66" i="18518"/>
  <c r="BC79" i="18518"/>
  <c r="AO85" i="18518"/>
  <c r="AO74" i="18518"/>
  <c r="AJ72" i="18518"/>
  <c r="AJ63" i="18518"/>
  <c r="AI67" i="18518"/>
  <c r="AI79" i="18518"/>
  <c r="AR72" i="18518"/>
  <c r="AR63" i="18518"/>
  <c r="AV72" i="18518"/>
  <c r="AV63" i="18518"/>
  <c r="AG72" i="18518"/>
  <c r="AG63" i="18518"/>
  <c r="AG81" i="18518"/>
  <c r="AF70" i="18518"/>
  <c r="AF67" i="18518"/>
  <c r="AF66" i="18518"/>
  <c r="AU64" i="18518"/>
  <c r="AU62" i="18518"/>
  <c r="AU61" i="18518"/>
  <c r="AU80" i="18518"/>
  <c r="BA70" i="18518"/>
  <c r="BA67" i="18518"/>
  <c r="BA66" i="18518"/>
  <c r="BA79" i="18518"/>
  <c r="AK41" i="18518"/>
  <c r="AK44" i="18518" s="1"/>
  <c r="AK46" i="18518" s="1"/>
  <c r="AK75" i="18518" s="1"/>
  <c r="AK84" i="18518"/>
  <c r="AL72" i="18518"/>
  <c r="AL63" i="18518"/>
  <c r="AD72" i="18518"/>
  <c r="AD63" i="18518"/>
  <c r="AE62" i="18518"/>
  <c r="AE80" i="18518"/>
  <c r="AE61" i="18518"/>
  <c r="AK70" i="18518"/>
  <c r="AK67" i="18518"/>
  <c r="AK66" i="18518"/>
  <c r="AK79" i="18518"/>
  <c r="AP64" i="18518"/>
  <c r="AP61" i="18518"/>
  <c r="AP62" i="18518"/>
  <c r="AR64" i="18518"/>
  <c r="AR62" i="18518"/>
  <c r="AR61" i="18518"/>
  <c r="AQ16" i="18518"/>
  <c r="AQ34" i="18518" s="1"/>
  <c r="AQ63" i="18518"/>
  <c r="AV64" i="18518"/>
  <c r="AV61" i="18518"/>
  <c r="AV62" i="18518"/>
  <c r="AZ72" i="18518"/>
  <c r="AZ63" i="18518"/>
  <c r="BB70" i="18518"/>
  <c r="BB67" i="18518"/>
  <c r="BB66" i="18518"/>
  <c r="BJ59" i="18518"/>
  <c r="BY73" i="18517"/>
  <c r="BZ84" i="18517"/>
  <c r="BY62" i="18517"/>
  <c r="BZ80" i="18517"/>
  <c r="BZ61" i="18517"/>
  <c r="BZ60" i="18517"/>
  <c r="BY60" i="18517"/>
  <c r="BY61" i="18517"/>
  <c r="BZ79" i="18517"/>
  <c r="BZ63" i="18517"/>
  <c r="BZ71" i="18517"/>
  <c r="BZ65" i="18517"/>
  <c r="BZ66" i="18517"/>
  <c r="BZ69" i="18517"/>
  <c r="BZ78" i="18517"/>
  <c r="BY69" i="18517"/>
  <c r="BY71" i="18517"/>
  <c r="BY63" i="18517"/>
  <c r="BY65" i="18517"/>
  <c r="BY66" i="18517"/>
  <c r="I80" i="18521"/>
  <c r="I62" i="18521"/>
  <c r="I71" i="18521"/>
  <c r="H66" i="18521"/>
  <c r="H69" i="18521"/>
  <c r="H65" i="18521"/>
  <c r="I84" i="18521"/>
  <c r="I73" i="18521"/>
  <c r="I83" i="18521"/>
  <c r="I66" i="18521"/>
  <c r="I69" i="18521"/>
  <c r="I65" i="18521"/>
  <c r="I78" i="18521"/>
  <c r="H61" i="18521"/>
  <c r="H63" i="18521"/>
  <c r="H60" i="18521"/>
  <c r="I61" i="18521"/>
  <c r="I79" i="18521"/>
  <c r="I60" i="18521"/>
  <c r="I63" i="18521"/>
  <c r="H62" i="18521"/>
  <c r="H71" i="18521"/>
  <c r="BD47" i="18516"/>
  <c r="BE47" i="18516"/>
  <c r="BE51" i="18516"/>
  <c r="BE74" i="18516"/>
  <c r="Z60" i="18516"/>
  <c r="AE80" i="18516"/>
  <c r="AE62" i="18516"/>
  <c r="AE71" i="18516"/>
  <c r="AG80" i="18516"/>
  <c r="AG71" i="18516"/>
  <c r="AG62" i="18516"/>
  <c r="AI80" i="18516"/>
  <c r="AI71" i="18516"/>
  <c r="AI62" i="18516"/>
  <c r="AM66" i="18516"/>
  <c r="AM69" i="18516"/>
  <c r="AM65" i="18516"/>
  <c r="AM78" i="18516"/>
  <c r="AO84" i="18516"/>
  <c r="AO73" i="18516"/>
  <c r="AP69" i="18516"/>
  <c r="AP65" i="18516"/>
  <c r="AP66" i="18516"/>
  <c r="AT66" i="18516"/>
  <c r="AT65" i="18516"/>
  <c r="AT69" i="18516"/>
  <c r="AV65" i="18516"/>
  <c r="AV69" i="18516"/>
  <c r="AV66" i="18516"/>
  <c r="C60" i="18516"/>
  <c r="K79" i="18516"/>
  <c r="K60" i="18516"/>
  <c r="S60" i="18516"/>
  <c r="S79" i="18516"/>
  <c r="AA79" i="18516"/>
  <c r="AA60" i="18516"/>
  <c r="AI61" i="18516"/>
  <c r="AI60" i="18516"/>
  <c r="AI63" i="18516"/>
  <c r="AI79" i="18516"/>
  <c r="AQ79" i="18516"/>
  <c r="AQ60" i="18516"/>
  <c r="AQ61" i="18516"/>
  <c r="AQ63" i="18516"/>
  <c r="AY43" i="18516"/>
  <c r="AY45" i="18516" s="1"/>
  <c r="AY74" i="18516" s="1"/>
  <c r="AY84" i="18516"/>
  <c r="AY73" i="18516"/>
  <c r="BC80" i="18516"/>
  <c r="BC71" i="18516"/>
  <c r="BC62" i="18516"/>
  <c r="AD71" i="18516"/>
  <c r="AD62" i="18516"/>
  <c r="AF71" i="18516"/>
  <c r="AF62" i="18516"/>
  <c r="AH62" i="18516"/>
  <c r="AH71" i="18516"/>
  <c r="AL43" i="18516"/>
  <c r="AL45" i="18516" s="1"/>
  <c r="AL74" i="18516" s="1"/>
  <c r="AL73" i="18516"/>
  <c r="AQ65" i="18516"/>
  <c r="AQ69" i="18516"/>
  <c r="AQ78" i="18516"/>
  <c r="AQ66" i="18516"/>
  <c r="AR66" i="18516"/>
  <c r="AR65" i="18516"/>
  <c r="AR69" i="18516"/>
  <c r="AU78" i="18516"/>
  <c r="AU66" i="18516"/>
  <c r="AU69" i="18516"/>
  <c r="AU65" i="18516"/>
  <c r="AW66" i="18516"/>
  <c r="AW78" i="18516"/>
  <c r="AW69" i="18516"/>
  <c r="AW65" i="18516"/>
  <c r="D60" i="18516"/>
  <c r="L60" i="18516"/>
  <c r="T60" i="18516"/>
  <c r="AB60" i="18516"/>
  <c r="AJ61" i="18516"/>
  <c r="AJ60" i="18516"/>
  <c r="AJ63" i="18516"/>
  <c r="AR61" i="18516"/>
  <c r="AR60" i="18516"/>
  <c r="AR63" i="18516"/>
  <c r="AX69" i="18516"/>
  <c r="AX66" i="18516"/>
  <c r="AX65" i="18516"/>
  <c r="BA62" i="18516"/>
  <c r="BA68" i="18516"/>
  <c r="AN43" i="18516"/>
  <c r="AN45" i="18516" s="1"/>
  <c r="AN74" i="18516" s="1"/>
  <c r="AN73" i="18516"/>
  <c r="AP63" i="18516"/>
  <c r="AP60" i="18516"/>
  <c r="AP61" i="18516"/>
  <c r="AE78" i="18516"/>
  <c r="AE69" i="18516"/>
  <c r="AE65" i="18516"/>
  <c r="AE66" i="18516"/>
  <c r="AG69" i="18516"/>
  <c r="AG65" i="18516"/>
  <c r="AG66" i="18516"/>
  <c r="AG78" i="18516"/>
  <c r="AI78" i="18516"/>
  <c r="AI69" i="18516"/>
  <c r="AI66" i="18516"/>
  <c r="AI65" i="18516"/>
  <c r="AM40" i="18516"/>
  <c r="AM83" i="18516"/>
  <c r="AP62" i="18516"/>
  <c r="AP71" i="18516"/>
  <c r="AS69" i="18516"/>
  <c r="AS78" i="18516"/>
  <c r="AS66" i="18516"/>
  <c r="AS65" i="18516"/>
  <c r="AT71" i="18516"/>
  <c r="AT62" i="18516"/>
  <c r="AW71" i="18516"/>
  <c r="AW62" i="18516"/>
  <c r="E79" i="18516"/>
  <c r="E60" i="18516"/>
  <c r="M79" i="18516"/>
  <c r="M60" i="18516"/>
  <c r="U79" i="18516"/>
  <c r="U60" i="18516"/>
  <c r="AC79" i="18516"/>
  <c r="AC60" i="18516"/>
  <c r="AK79" i="18516"/>
  <c r="AK61" i="18516"/>
  <c r="AK60" i="18516"/>
  <c r="AK63" i="18516"/>
  <c r="AS79" i="18516"/>
  <c r="AS60" i="18516"/>
  <c r="AS61" i="18516"/>
  <c r="AS63" i="18516"/>
  <c r="AY78" i="18516"/>
  <c r="AY69" i="18516"/>
  <c r="AY65" i="18516"/>
  <c r="AY66" i="18516"/>
  <c r="AZ68" i="18516"/>
  <c r="AZ62" i="18516"/>
  <c r="BC73" i="18516"/>
  <c r="BC84" i="18516"/>
  <c r="R60" i="18516"/>
  <c r="AD66" i="18516"/>
  <c r="AD65" i="18516"/>
  <c r="AD69" i="18516"/>
  <c r="AF65" i="18516"/>
  <c r="AF69" i="18516"/>
  <c r="AF66" i="18516"/>
  <c r="AH69" i="18516"/>
  <c r="AH65" i="18516"/>
  <c r="AH66" i="18516"/>
  <c r="AN65" i="18516"/>
  <c r="AN69" i="18516"/>
  <c r="AN66" i="18516"/>
  <c r="AQ80" i="18516"/>
  <c r="AQ62" i="18516"/>
  <c r="AQ71" i="18516"/>
  <c r="AR62" i="18516"/>
  <c r="AR71" i="18516"/>
  <c r="AU80" i="18516"/>
  <c r="AU71" i="18516"/>
  <c r="AU62" i="18516"/>
  <c r="F60" i="18516"/>
  <c r="N60" i="18516"/>
  <c r="V60" i="18516"/>
  <c r="AD63" i="18516"/>
  <c r="AD61" i="18516"/>
  <c r="AD60" i="18516"/>
  <c r="AL61" i="18516"/>
  <c r="AL63" i="18516"/>
  <c r="AL60" i="18516"/>
  <c r="AT61" i="18516"/>
  <c r="AT63" i="18516"/>
  <c r="AT60" i="18516"/>
  <c r="AX63" i="18516"/>
  <c r="AX60" i="18516"/>
  <c r="AX61" i="18516"/>
  <c r="BA76" i="18516"/>
  <c r="BA58" i="18516"/>
  <c r="BB66" i="18516"/>
  <c r="BB65" i="18516"/>
  <c r="BB69" i="18516"/>
  <c r="AJ66" i="18516"/>
  <c r="AJ65" i="18516"/>
  <c r="AJ69" i="18516"/>
  <c r="AL66" i="18516"/>
  <c r="AL65" i="18516"/>
  <c r="AL69" i="18516"/>
  <c r="J60" i="18516"/>
  <c r="AH63" i="18516"/>
  <c r="AH61" i="18516"/>
  <c r="AH60" i="18516"/>
  <c r="BB71" i="18516"/>
  <c r="BB62" i="18516"/>
  <c r="AK80" i="18516"/>
  <c r="AK62" i="18516"/>
  <c r="AK71" i="18516"/>
  <c r="AO69" i="18516"/>
  <c r="AO65" i="18516"/>
  <c r="AO78" i="18516"/>
  <c r="AO66" i="18516"/>
  <c r="AS71" i="18516"/>
  <c r="AS80" i="18516"/>
  <c r="AS62" i="18516"/>
  <c r="AT43" i="18516"/>
  <c r="AT45" i="18516" s="1"/>
  <c r="AT47" i="18516" s="1"/>
  <c r="AT73" i="18516"/>
  <c r="AW84" i="18516"/>
  <c r="AW73" i="18516"/>
  <c r="BW82" i="18516"/>
  <c r="G79" i="18516"/>
  <c r="G60" i="18516"/>
  <c r="O79" i="18516"/>
  <c r="O60" i="18516"/>
  <c r="W79" i="18516"/>
  <c r="W60" i="18516"/>
  <c r="AE79" i="18516"/>
  <c r="AE63" i="18516"/>
  <c r="AE61" i="18516"/>
  <c r="AE60" i="18516"/>
  <c r="AM79" i="18516"/>
  <c r="AM60" i="18516"/>
  <c r="AM61" i="18516"/>
  <c r="AM63" i="18516"/>
  <c r="AU63" i="18516"/>
  <c r="AU61" i="18516"/>
  <c r="AU79" i="18516"/>
  <c r="AU60" i="18516"/>
  <c r="AY60" i="18516"/>
  <c r="AY79" i="18516"/>
  <c r="AY61" i="18516"/>
  <c r="AY63" i="18516"/>
  <c r="AZ58" i="18516"/>
  <c r="BC78" i="18516"/>
  <c r="BC69" i="18516"/>
  <c r="BC65" i="18516"/>
  <c r="BC66" i="18516"/>
  <c r="AJ62" i="18516"/>
  <c r="AJ71" i="18516"/>
  <c r="AL71" i="18516"/>
  <c r="AL62" i="18516"/>
  <c r="AN71" i="18516"/>
  <c r="AN62" i="18516"/>
  <c r="AQ84" i="18516"/>
  <c r="AQ73" i="18516"/>
  <c r="AR43" i="18516"/>
  <c r="AR45" i="18516" s="1"/>
  <c r="AR47" i="18516" s="1"/>
  <c r="AR73" i="18516"/>
  <c r="AU43" i="18516"/>
  <c r="AU45" i="18516" s="1"/>
  <c r="AU74" i="18516" s="1"/>
  <c r="AU73" i="18516"/>
  <c r="AU84" i="18516"/>
  <c r="H60" i="18516"/>
  <c r="P60" i="18516"/>
  <c r="X60" i="18516"/>
  <c r="AF63" i="18516"/>
  <c r="AF61" i="18516"/>
  <c r="AF60" i="18516"/>
  <c r="AN63" i="18516"/>
  <c r="AN60" i="18516"/>
  <c r="AN61" i="18516"/>
  <c r="AV63" i="18516"/>
  <c r="AV60" i="18516"/>
  <c r="AX62" i="18516"/>
  <c r="AX71" i="18516"/>
  <c r="BA78" i="18516"/>
  <c r="BA66" i="18516"/>
  <c r="BB61" i="18516"/>
  <c r="BB63" i="18516"/>
  <c r="BB60" i="18516"/>
  <c r="BA80" i="18516"/>
  <c r="BA71" i="18516"/>
  <c r="AE73" i="18516"/>
  <c r="AE84" i="18516"/>
  <c r="AG40" i="18516"/>
  <c r="AG43" i="18516" s="1"/>
  <c r="AG45" i="18516" s="1"/>
  <c r="AG74" i="18516" s="1"/>
  <c r="AG83" i="18516"/>
  <c r="AK78" i="18516"/>
  <c r="AK66" i="18516"/>
  <c r="AK65" i="18516"/>
  <c r="AK69" i="18516"/>
  <c r="AM80" i="18516"/>
  <c r="AM62" i="18516"/>
  <c r="AM71" i="18516"/>
  <c r="AO71" i="18516"/>
  <c r="AO62" i="18516"/>
  <c r="AO80" i="18516"/>
  <c r="AS43" i="18516"/>
  <c r="AS45" i="18516" s="1"/>
  <c r="AS74" i="18516" s="1"/>
  <c r="AS84" i="18516"/>
  <c r="AS73" i="18516"/>
  <c r="I79" i="18516"/>
  <c r="I60" i="18516"/>
  <c r="Q60" i="18516"/>
  <c r="Q79" i="18516"/>
  <c r="Y79" i="18516"/>
  <c r="Y60" i="18516"/>
  <c r="AG79" i="18516"/>
  <c r="AG61" i="18516"/>
  <c r="AG63" i="18516"/>
  <c r="AG60" i="18516"/>
  <c r="AO79" i="18516"/>
  <c r="AO60" i="18516"/>
  <c r="AO61" i="18516"/>
  <c r="AO63" i="18516"/>
  <c r="AW63" i="18516"/>
  <c r="AW79" i="18516"/>
  <c r="AW60" i="18516"/>
  <c r="AW61" i="18516"/>
  <c r="AY80" i="18516"/>
  <c r="AY62" i="18516"/>
  <c r="AY71" i="18516"/>
  <c r="AZ66" i="18516"/>
  <c r="BC79" i="18516"/>
  <c r="BC63" i="18516"/>
  <c r="BC61" i="18516"/>
  <c r="BC60" i="18516"/>
  <c r="BB43" i="18516"/>
  <c r="BB45" i="18516" s="1"/>
  <c r="BB33" i="18516"/>
  <c r="BB49" i="18516" s="1"/>
  <c r="BC33" i="18516"/>
  <c r="BC49" i="18516" s="1"/>
  <c r="BC43" i="18516"/>
  <c r="BC45" i="18516" s="1"/>
  <c r="BC74" i="18516" s="1"/>
  <c r="AZ76" i="18516"/>
  <c r="H43" i="18521"/>
  <c r="H45" i="18521" s="1"/>
  <c r="H74" i="18521" s="1"/>
  <c r="AZ43" i="18516"/>
  <c r="AZ45" i="18516" s="1"/>
  <c r="AZ74" i="18516" s="1"/>
  <c r="BA40" i="18516"/>
  <c r="BA16" i="18516"/>
  <c r="BA60" i="18516" s="1"/>
  <c r="AZ16" i="18516"/>
  <c r="AZ60" i="18516" s="1"/>
  <c r="AV32" i="18516"/>
  <c r="AW80" i="18516" s="1"/>
  <c r="AX43" i="18516"/>
  <c r="AX45" i="18516" s="1"/>
  <c r="AX33" i="18516"/>
  <c r="AX49" i="18516" s="1"/>
  <c r="AY33" i="18516"/>
  <c r="AY49" i="18516" s="1"/>
  <c r="BV16" i="18516"/>
  <c r="BV60" i="18516" s="1"/>
  <c r="BW16" i="18516"/>
  <c r="BW60" i="18516" s="1"/>
  <c r="BG43" i="18514"/>
  <c r="BG45" i="18514" s="1"/>
  <c r="BF43" i="18514"/>
  <c r="BF45" i="18514" s="1"/>
  <c r="BF74" i="18514" s="1"/>
  <c r="BF33" i="18514"/>
  <c r="BF49" i="18514" s="1"/>
  <c r="BG33" i="18514"/>
  <c r="BG49" i="18514" s="1"/>
  <c r="BY45" i="18517"/>
  <c r="BY74" i="18517" s="1"/>
  <c r="BY33" i="18517"/>
  <c r="BY49" i="18517" s="1"/>
  <c r="BZ33" i="18517"/>
  <c r="BZ49" i="18517" s="1"/>
  <c r="BW33" i="18517"/>
  <c r="BW49" i="18517" s="1"/>
  <c r="BX33" i="18517"/>
  <c r="BX49" i="18517" s="1"/>
  <c r="BT47" i="18517"/>
  <c r="BR43" i="18517"/>
  <c r="BR45" i="18517" s="1"/>
  <c r="BR74" i="18517" s="1"/>
  <c r="BV33" i="18517"/>
  <c r="BV49" i="18517" s="1"/>
  <c r="I43" i="18521"/>
  <c r="I45" i="18521" s="1"/>
  <c r="I74" i="18521" s="1"/>
  <c r="BB34" i="18518"/>
  <c r="BB50" i="18518" s="1"/>
  <c r="BT51" i="18517"/>
  <c r="BU33" i="18517"/>
  <c r="BU49" i="18517" s="1"/>
  <c r="BT33" i="18517"/>
  <c r="BT49" i="18517" s="1"/>
  <c r="BS33" i="18517"/>
  <c r="BS49" i="18517" s="1"/>
  <c r="BC44" i="18518"/>
  <c r="BC46" i="18518" s="1"/>
  <c r="BC75" i="18518" s="1"/>
  <c r="BQ43" i="18517"/>
  <c r="BQ45" i="18517" s="1"/>
  <c r="BQ74" i="18517" s="1"/>
  <c r="BR33" i="18517"/>
  <c r="BR49" i="18517" s="1"/>
  <c r="AV43" i="18516"/>
  <c r="AV45" i="18516" s="1"/>
  <c r="AW43" i="18516"/>
  <c r="AW45" i="18516" s="1"/>
  <c r="AW74" i="18516" s="1"/>
  <c r="BE43" i="18514"/>
  <c r="BE45" i="18514" s="1"/>
  <c r="BE74" i="18514" s="1"/>
  <c r="BD43" i="18514"/>
  <c r="BD45" i="18514" s="1"/>
  <c r="BD74" i="18514" s="1"/>
  <c r="BD33" i="18514"/>
  <c r="BD49" i="18514" s="1"/>
  <c r="BE33" i="18514"/>
  <c r="BE49" i="18514" s="1"/>
  <c r="BB43" i="18514"/>
  <c r="BB45" i="18514" s="1"/>
  <c r="BB74" i="18514" s="1"/>
  <c r="BC43" i="18514"/>
  <c r="BC45" i="18514" s="1"/>
  <c r="BC74" i="18514" s="1"/>
  <c r="BB33" i="18514"/>
  <c r="BB49" i="18514" s="1"/>
  <c r="BC33" i="18514"/>
  <c r="BC49" i="18514" s="1"/>
  <c r="BA43" i="18514"/>
  <c r="BA45" i="18514" s="1"/>
  <c r="BA74" i="18514" s="1"/>
  <c r="H33" i="18521"/>
  <c r="H49" i="18521" s="1"/>
  <c r="I33" i="18521"/>
  <c r="I49" i="18521" s="1"/>
  <c r="BC34" i="18518"/>
  <c r="BC50" i="18518" s="1"/>
  <c r="BA34" i="18518"/>
  <c r="BA50" i="18518" s="1"/>
  <c r="AL34" i="18518"/>
  <c r="AL50" i="18518" s="1"/>
  <c r="AX44" i="18518"/>
  <c r="AX46" i="18518" s="1"/>
  <c r="AY41" i="18518"/>
  <c r="AZ34" i="18518"/>
  <c r="AZ50" i="18518" s="1"/>
  <c r="AZ44" i="18518"/>
  <c r="AZ46" i="18518" s="1"/>
  <c r="AZ75" i="18518" s="1"/>
  <c r="AL44" i="18518"/>
  <c r="AL46" i="18518" s="1"/>
  <c r="AL75" i="18518" s="1"/>
  <c r="AX34" i="18518"/>
  <c r="AX50" i="18518" s="1"/>
  <c r="AY34" i="18518"/>
  <c r="AY50" i="18518" s="1"/>
  <c r="AM12" i="18518"/>
  <c r="AV44" i="18518"/>
  <c r="AV46" i="18518" s="1"/>
  <c r="AT44" i="18518"/>
  <c r="AT46" i="18518" s="1"/>
  <c r="AT75" i="18518" s="1"/>
  <c r="AV34" i="18518"/>
  <c r="AV50" i="18518" s="1"/>
  <c r="AS77" i="18518"/>
  <c r="AS12" i="18518"/>
  <c r="AT34" i="18518"/>
  <c r="AT50" i="18518" s="1"/>
  <c r="AU34" i="18518"/>
  <c r="AU50" i="18518" s="1"/>
  <c r="AU44" i="18518"/>
  <c r="AU46" i="18518" s="1"/>
  <c r="AU75" i="18518" s="1"/>
  <c r="AR44" i="18518"/>
  <c r="AR46" i="18518" s="1"/>
  <c r="AR75" i="18518" s="1"/>
  <c r="AS44" i="18518"/>
  <c r="AS46" i="18518" s="1"/>
  <c r="AS75" i="18518" s="1"/>
  <c r="AQ44" i="18518"/>
  <c r="AQ46" i="18518" s="1"/>
  <c r="AQ75" i="18518" s="1"/>
  <c r="AR34" i="18518"/>
  <c r="AR50" i="18518" s="1"/>
  <c r="AS34" i="18518"/>
  <c r="AH77" i="18518"/>
  <c r="AO44" i="18518"/>
  <c r="AO46" i="18518" s="1"/>
  <c r="AO75" i="18518" s="1"/>
  <c r="AK34" i="18518"/>
  <c r="AK50" i="18518" s="1"/>
  <c r="AN34" i="18518"/>
  <c r="AN50" i="18518" s="1"/>
  <c r="AI16" i="18518"/>
  <c r="AI66" i="18518" s="1"/>
  <c r="AP44" i="18518"/>
  <c r="AP46" i="18518" s="1"/>
  <c r="AP34" i="18518"/>
  <c r="AP50" i="18518" s="1"/>
  <c r="AE41" i="18518"/>
  <c r="AG44" i="18518"/>
  <c r="AG46" i="18518" s="1"/>
  <c r="AG34" i="18518"/>
  <c r="AG50" i="18518" s="1"/>
  <c r="AH16" i="18518"/>
  <c r="AH70" i="18518" s="1"/>
  <c r="AT33" i="18516"/>
  <c r="AT49" i="18516" s="1"/>
  <c r="BP43" i="18517"/>
  <c r="BP45" i="18517" s="1"/>
  <c r="BO40" i="18517"/>
  <c r="BO73" i="18517" s="1"/>
  <c r="BO33" i="18517"/>
  <c r="BO49" i="18517" s="1"/>
  <c r="BP33" i="18517"/>
  <c r="BP49" i="18517" s="1"/>
  <c r="AW33" i="18516"/>
  <c r="AW49" i="18516" s="1"/>
  <c r="AU33" i="18516"/>
  <c r="AU49" i="18516" s="1"/>
  <c r="AZ43" i="18514"/>
  <c r="AZ45" i="18514" s="1"/>
  <c r="AZ74" i="18514" s="1"/>
  <c r="AZ33" i="18514"/>
  <c r="AZ49" i="18514" s="1"/>
  <c r="AX43" i="18514"/>
  <c r="AX45" i="18514" s="1"/>
  <c r="AX74" i="18514" s="1"/>
  <c r="AX33" i="18514"/>
  <c r="AX49" i="18514" s="1"/>
  <c r="BA33" i="18514"/>
  <c r="BA49" i="18514" s="1"/>
  <c r="AY33" i="18514"/>
  <c r="AY49" i="18514" s="1"/>
  <c r="AQ32" i="18514"/>
  <c r="AS33" i="18516"/>
  <c r="AS49" i="18516" s="1"/>
  <c r="AR33" i="18516"/>
  <c r="AR49" i="18516" s="1"/>
  <c r="AP43" i="18516"/>
  <c r="AP45" i="18516" s="1"/>
  <c r="AP74" i="18516" s="1"/>
  <c r="AW33" i="18514"/>
  <c r="AW49" i="18514" s="1"/>
  <c r="AV33" i="18514"/>
  <c r="AV49" i="18514" s="1"/>
  <c r="AV43" i="18514"/>
  <c r="AV45" i="18514" s="1"/>
  <c r="AV74" i="18514" s="1"/>
  <c r="AW43" i="18514"/>
  <c r="AW45" i="18514" s="1"/>
  <c r="AW74" i="18514" s="1"/>
  <c r="AP40" i="18514"/>
  <c r="AP73" i="18514" s="1"/>
  <c r="AU33" i="18514"/>
  <c r="AU49" i="18514" s="1"/>
  <c r="AT43" i="18514"/>
  <c r="AT45" i="18514" s="1"/>
  <c r="AT74" i="18514" s="1"/>
  <c r="AU40" i="18514"/>
  <c r="AT33" i="18514"/>
  <c r="AT49" i="18514" s="1"/>
  <c r="AQ43" i="18516"/>
  <c r="AQ45" i="18516" s="1"/>
  <c r="AQ74" i="18516" s="1"/>
  <c r="AQ33" i="18516"/>
  <c r="AQ49" i="18516" s="1"/>
  <c r="AP33" i="18516"/>
  <c r="AP49" i="18516" s="1"/>
  <c r="AL33" i="18516"/>
  <c r="AL49" i="18516" s="1"/>
  <c r="AR40" i="18514"/>
  <c r="AR73" i="18514" s="1"/>
  <c r="AS33" i="18514"/>
  <c r="AS49" i="18514" s="1"/>
  <c r="AR33" i="18514"/>
  <c r="AR49" i="18514" s="1"/>
  <c r="AP33" i="18514"/>
  <c r="AP49" i="18514" s="1"/>
  <c r="AP43" i="18514"/>
  <c r="AP45" i="18514" s="1"/>
  <c r="AP74" i="18514" s="1"/>
  <c r="AM33" i="18514"/>
  <c r="AM49" i="18514" s="1"/>
  <c r="AO43" i="18516"/>
  <c r="AO45" i="18516" s="1"/>
  <c r="AO74" i="18516" s="1"/>
  <c r="AN33" i="18516"/>
  <c r="AN49" i="18516" s="1"/>
  <c r="AO33" i="18516"/>
  <c r="AO49" i="18516" s="1"/>
  <c r="AM33" i="18516"/>
  <c r="AM49" i="18516" s="1"/>
  <c r="AJ43" i="18516"/>
  <c r="AJ45" i="18516" s="1"/>
  <c r="AJ74" i="18516" s="1"/>
  <c r="AK33" i="18516"/>
  <c r="AK49" i="18516" s="1"/>
  <c r="AJ33" i="18516"/>
  <c r="AJ49" i="18516" s="1"/>
  <c r="AK40" i="18516"/>
  <c r="AN43" i="18514"/>
  <c r="AN45" i="18514" s="1"/>
  <c r="AN74" i="18514" s="1"/>
  <c r="AO43" i="18514"/>
  <c r="AO45" i="18514" s="1"/>
  <c r="AO74" i="18514" s="1"/>
  <c r="AN33" i="18514"/>
  <c r="AN49" i="18514" s="1"/>
  <c r="AO33" i="18514"/>
  <c r="AO49" i="18514" s="1"/>
  <c r="AL33" i="18514"/>
  <c r="AL49" i="18514" s="1"/>
  <c r="AL43" i="18514"/>
  <c r="AL45" i="18514" s="1"/>
  <c r="AL74" i="18514" s="1"/>
  <c r="AM40" i="18514"/>
  <c r="AJ33" i="18514"/>
  <c r="AJ49" i="18514" s="1"/>
  <c r="AJ43" i="18514"/>
  <c r="AJ45" i="18514" s="1"/>
  <c r="AJ74" i="18514" s="1"/>
  <c r="AK40" i="18514"/>
  <c r="AK33" i="18514"/>
  <c r="AK49" i="18514" s="1"/>
  <c r="L47" i="18519"/>
  <c r="L51" i="18519"/>
  <c r="M47" i="18519"/>
  <c r="M51" i="18519"/>
  <c r="L33" i="18519"/>
  <c r="L49" i="18519" s="1"/>
  <c r="AH43" i="18516"/>
  <c r="AH45" i="18516" s="1"/>
  <c r="AH74" i="18516" s="1"/>
  <c r="AI40" i="18516"/>
  <c r="AI33" i="18516"/>
  <c r="AI49" i="18516" s="1"/>
  <c r="AH33" i="18516"/>
  <c r="AH49" i="18516" s="1"/>
  <c r="AF43" i="18516"/>
  <c r="AF45" i="18516" s="1"/>
  <c r="AF74" i="18516" s="1"/>
  <c r="AG33" i="18516"/>
  <c r="AG49" i="18516" s="1"/>
  <c r="AF33" i="18516"/>
  <c r="AF49" i="18516" s="1"/>
  <c r="AE33" i="18516"/>
  <c r="AE49" i="18516" s="1"/>
  <c r="AD33" i="18516"/>
  <c r="AD49" i="18516" s="1"/>
  <c r="AE43" i="18516"/>
  <c r="AE45" i="18516" s="1"/>
  <c r="AE74" i="18516" s="1"/>
  <c r="AD43" i="18516"/>
  <c r="AD45" i="18516" s="1"/>
  <c r="AD74" i="18516" s="1"/>
  <c r="AO34" i="18518"/>
  <c r="AO50" i="18518" s="1"/>
  <c r="AF44" i="18518"/>
  <c r="AF46" i="18518" s="1"/>
  <c r="AF75" i="18518" s="1"/>
  <c r="AD34" i="18518"/>
  <c r="AD50" i="18518" s="1"/>
  <c r="AJ44" i="18518"/>
  <c r="AJ46" i="18518" s="1"/>
  <c r="AJ75" i="18518" s="1"/>
  <c r="AH44" i="18518"/>
  <c r="AH46" i="18518" s="1"/>
  <c r="AH75" i="18518" s="1"/>
  <c r="AM77" i="18518"/>
  <c r="AF34" i="18518"/>
  <c r="AF50" i="18518" s="1"/>
  <c r="AE34" i="18518"/>
  <c r="AD44" i="18518"/>
  <c r="AD46" i="18518" s="1"/>
  <c r="AD75" i="18518" s="1"/>
  <c r="AM16" i="18518"/>
  <c r="AE77" i="18518"/>
  <c r="AJ34" i="18518"/>
  <c r="AJ50" i="18518" s="1"/>
  <c r="AA47" i="18524"/>
  <c r="Z43" i="18524"/>
  <c r="Z45" i="18524" s="1"/>
  <c r="Z74" i="18524" s="1"/>
  <c r="Z33" i="18524"/>
  <c r="Z49" i="18524" s="1"/>
  <c r="W33" i="18524"/>
  <c r="W49" i="18524" s="1"/>
  <c r="X33" i="18524"/>
  <c r="X49" i="18524" s="1"/>
  <c r="W43" i="18524"/>
  <c r="W45" i="18524" s="1"/>
  <c r="W51" i="18524" s="1"/>
  <c r="X43" i="18524"/>
  <c r="X45" i="18524" s="1"/>
  <c r="X74" i="18524" s="1"/>
  <c r="U33" i="18524"/>
  <c r="U49" i="18524" s="1"/>
  <c r="T33" i="18524"/>
  <c r="T49" i="18524" s="1"/>
  <c r="T43" i="18524"/>
  <c r="T45" i="18524" s="1"/>
  <c r="T74" i="18524" s="1"/>
  <c r="U43" i="18524"/>
  <c r="U45" i="18524" s="1"/>
  <c r="U74" i="18524" s="1"/>
  <c r="BW33" i="18523"/>
  <c r="BW49" i="18523" s="1"/>
  <c r="BV33" i="18523"/>
  <c r="BV49" i="18523" s="1"/>
  <c r="C9" i="18525"/>
  <c r="C8" i="18525"/>
  <c r="C7" i="18525"/>
  <c r="C6" i="18525"/>
  <c r="C5" i="18525"/>
  <c r="B9" i="18525"/>
  <c r="B8" i="18525"/>
  <c r="B7" i="18525"/>
  <c r="B6" i="18525"/>
  <c r="B5" i="18525"/>
  <c r="BW84" i="18523" l="1"/>
  <c r="AA51" i="18524"/>
  <c r="BW43" i="18523"/>
  <c r="BW45" i="18523" s="1"/>
  <c r="BW74" i="18523" s="1"/>
  <c r="AL48" i="18518"/>
  <c r="AQ50" i="18518"/>
  <c r="AW34" i="18518"/>
  <c r="AW50" i="18518" s="1"/>
  <c r="AW72" i="18518"/>
  <c r="AY51" i="18514"/>
  <c r="AN47" i="18516"/>
  <c r="AU47" i="18516"/>
  <c r="AU51" i="18516"/>
  <c r="AS47" i="18516"/>
  <c r="AS51" i="18516"/>
  <c r="AN52" i="18518"/>
  <c r="AH66" i="18518"/>
  <c r="AN48" i="18518"/>
  <c r="BA52" i="18518"/>
  <c r="BA48" i="18518"/>
  <c r="AA71" i="18524"/>
  <c r="AA62" i="18524"/>
  <c r="AA80" i="18524"/>
  <c r="AA33" i="18524"/>
  <c r="AA49" i="18524" s="1"/>
  <c r="W47" i="18524"/>
  <c r="W74" i="18524"/>
  <c r="AA61" i="18524"/>
  <c r="AY47" i="18514"/>
  <c r="AQ80" i="18514"/>
  <c r="AQ71" i="18514"/>
  <c r="AQ62" i="18514"/>
  <c r="BG51" i="18514"/>
  <c r="BG74" i="18514"/>
  <c r="AS84" i="18514"/>
  <c r="AS73" i="18514"/>
  <c r="AQ61" i="18514"/>
  <c r="AU84" i="18514"/>
  <c r="AU73" i="18514"/>
  <c r="AK84" i="18514"/>
  <c r="AK73" i="18514"/>
  <c r="AQ43" i="18514"/>
  <c r="AQ45" i="18514" s="1"/>
  <c r="AQ84" i="18514"/>
  <c r="AQ73" i="18514"/>
  <c r="AM73" i="18514"/>
  <c r="AM84" i="18514"/>
  <c r="AP71" i="18514"/>
  <c r="AP62" i="18514"/>
  <c r="AP61" i="18514"/>
  <c r="BV51" i="18523"/>
  <c r="BV47" i="18523"/>
  <c r="AZ69" i="18516"/>
  <c r="AZ65" i="18516"/>
  <c r="AN51" i="18516"/>
  <c r="AY51" i="18516"/>
  <c r="AV33" i="18516"/>
  <c r="AV49" i="18516" s="1"/>
  <c r="AY47" i="18516"/>
  <c r="BS51" i="18517"/>
  <c r="BS47" i="18517"/>
  <c r="BP47" i="18517"/>
  <c r="BP74" i="18517"/>
  <c r="BV51" i="18517"/>
  <c r="BV74" i="18517"/>
  <c r="BU47" i="18517"/>
  <c r="BU74" i="18517"/>
  <c r="BP84" i="18517"/>
  <c r="BW47" i="18517"/>
  <c r="BW74" i="18517"/>
  <c r="BC52" i="18518"/>
  <c r="AH61" i="18518"/>
  <c r="BB48" i="18518"/>
  <c r="AI70" i="18518"/>
  <c r="AI61" i="18518"/>
  <c r="BB52" i="18518"/>
  <c r="AE79" i="18518"/>
  <c r="AE70" i="18518"/>
  <c r="AE67" i="18518"/>
  <c r="AE66" i="18518"/>
  <c r="AM70" i="18518"/>
  <c r="AM67" i="18518"/>
  <c r="AM66" i="18518"/>
  <c r="AM79" i="18518"/>
  <c r="AM74" i="18518"/>
  <c r="AM85" i="18518"/>
  <c r="AP48" i="18518"/>
  <c r="AP75" i="18518"/>
  <c r="AI74" i="18518"/>
  <c r="AI85" i="18518"/>
  <c r="AM80" i="18518"/>
  <c r="AM64" i="18518"/>
  <c r="AM62" i="18518"/>
  <c r="AM61" i="18518"/>
  <c r="AH64" i="18518"/>
  <c r="AH62" i="18518"/>
  <c r="AI34" i="18518"/>
  <c r="AI50" i="18518" s="1"/>
  <c r="AI80" i="18518"/>
  <c r="AI64" i="18518"/>
  <c r="AI62" i="18518"/>
  <c r="AK74" i="18518"/>
  <c r="AK85" i="18518"/>
  <c r="AM72" i="18518"/>
  <c r="AY74" i="18518"/>
  <c r="AY85" i="18518"/>
  <c r="AX48" i="18518"/>
  <c r="AX75" i="18518"/>
  <c r="AM44" i="18518"/>
  <c r="AM46" i="18518" s="1"/>
  <c r="AM75" i="18518" s="1"/>
  <c r="AI44" i="18518"/>
  <c r="AI46" i="18518" s="1"/>
  <c r="AI75" i="18518" s="1"/>
  <c r="AE64" i="18518"/>
  <c r="AW44" i="18518"/>
  <c r="AW46" i="18518" s="1"/>
  <c r="AW85" i="18518"/>
  <c r="AW74" i="18518"/>
  <c r="AS79" i="18518"/>
  <c r="AS70" i="18518"/>
  <c r="AS67" i="18518"/>
  <c r="AS66" i="18518"/>
  <c r="AQ79" i="18518"/>
  <c r="AQ70" i="18518"/>
  <c r="AQ67" i="18518"/>
  <c r="AQ66" i="18518"/>
  <c r="AG52" i="18518"/>
  <c r="AG75" i="18518"/>
  <c r="AS72" i="18518"/>
  <c r="AE85" i="18518"/>
  <c r="AE74" i="18518"/>
  <c r="AV48" i="18518"/>
  <c r="AV75" i="18518"/>
  <c r="AQ61" i="18518"/>
  <c r="AQ62" i="18518"/>
  <c r="AQ80" i="18518"/>
  <c r="AQ64" i="18518"/>
  <c r="AE72" i="18518"/>
  <c r="AQ72" i="18518"/>
  <c r="AS64" i="18518"/>
  <c r="BY47" i="18517"/>
  <c r="AL47" i="18516"/>
  <c r="BA84" i="18516"/>
  <c r="BA73" i="18516"/>
  <c r="AK84" i="18516"/>
  <c r="AK73" i="18516"/>
  <c r="AL51" i="18516"/>
  <c r="AV61" i="18516"/>
  <c r="AV47" i="18516"/>
  <c r="AV74" i="18516"/>
  <c r="AT51" i="18516"/>
  <c r="AT74" i="18516"/>
  <c r="BA69" i="18516"/>
  <c r="AM43" i="18516"/>
  <c r="AM45" i="18516" s="1"/>
  <c r="AM73" i="18516"/>
  <c r="AM84" i="18516"/>
  <c r="BW79" i="18516"/>
  <c r="AX51" i="18516"/>
  <c r="AX74" i="18516"/>
  <c r="AG84" i="18516"/>
  <c r="AG73" i="18516"/>
  <c r="BA65" i="18516"/>
  <c r="BB47" i="18516"/>
  <c r="BB74" i="18516"/>
  <c r="AV71" i="18516"/>
  <c r="AV62" i="18516"/>
  <c r="BA79" i="18516"/>
  <c r="BA61" i="18516"/>
  <c r="BA63" i="18516"/>
  <c r="AI84" i="18516"/>
  <c r="AI73" i="18516"/>
  <c r="AZ61" i="18516"/>
  <c r="AZ63" i="18516"/>
  <c r="AR51" i="18516"/>
  <c r="AR74" i="18516"/>
  <c r="BB51" i="18516"/>
  <c r="BC51" i="18516"/>
  <c r="BC47" i="18516"/>
  <c r="I51" i="18521"/>
  <c r="I47" i="18521"/>
  <c r="H51" i="18521"/>
  <c r="H47" i="18521"/>
  <c r="AZ33" i="18516"/>
  <c r="AZ49" i="18516" s="1"/>
  <c r="BA33" i="18516"/>
  <c r="BA49" i="18516" s="1"/>
  <c r="BA43" i="18516"/>
  <c r="BA45" i="18516" s="1"/>
  <c r="BA74" i="18516" s="1"/>
  <c r="AZ51" i="18516"/>
  <c r="AZ47" i="18516"/>
  <c r="AW51" i="18516"/>
  <c r="AX47" i="18516"/>
  <c r="BB51" i="18514"/>
  <c r="BE47" i="18514"/>
  <c r="AW47" i="18516"/>
  <c r="BE51" i="18514"/>
  <c r="AQ33" i="18514"/>
  <c r="AQ49" i="18514" s="1"/>
  <c r="BF51" i="18514"/>
  <c r="BG47" i="18514"/>
  <c r="BF47" i="18514"/>
  <c r="BD51" i="18514"/>
  <c r="BY51" i="18517"/>
  <c r="BR51" i="18517"/>
  <c r="BZ47" i="18517"/>
  <c r="BR47" i="18517"/>
  <c r="BW51" i="18517"/>
  <c r="BZ51" i="18517"/>
  <c r="BX51" i="18517"/>
  <c r="BX47" i="18517"/>
  <c r="BU51" i="18517"/>
  <c r="BV47" i="18517"/>
  <c r="BC48" i="18518"/>
  <c r="BQ51" i="18517"/>
  <c r="BQ47" i="18517"/>
  <c r="AV51" i="18516"/>
  <c r="AP51" i="18516"/>
  <c r="AQ47" i="18516"/>
  <c r="AO51" i="18516"/>
  <c r="BD47" i="18514"/>
  <c r="BA47" i="18514"/>
  <c r="BC47" i="18514"/>
  <c r="BC51" i="18514"/>
  <c r="BB47" i="18514"/>
  <c r="AX47" i="18514"/>
  <c r="AX51" i="18514"/>
  <c r="BA51" i="18514"/>
  <c r="AZ51" i="18514"/>
  <c r="AZ47" i="18514"/>
  <c r="AL52" i="18518"/>
  <c r="AX52" i="18518"/>
  <c r="AY44" i="18518"/>
  <c r="AY46" i="18518" s="1"/>
  <c r="AY75" i="18518" s="1"/>
  <c r="AZ52" i="18518"/>
  <c r="AZ48" i="18518"/>
  <c r="AV52" i="18518"/>
  <c r="AT52" i="18518"/>
  <c r="AT48" i="18518"/>
  <c r="AS50" i="18518"/>
  <c r="AR52" i="18518"/>
  <c r="AU52" i="18518"/>
  <c r="AU48" i="18518"/>
  <c r="AR48" i="18518"/>
  <c r="AS48" i="18518"/>
  <c r="AS52" i="18518"/>
  <c r="AQ52" i="18518"/>
  <c r="AQ48" i="18518"/>
  <c r="AO48" i="18518"/>
  <c r="AO52" i="18518"/>
  <c r="AP52" i="18518"/>
  <c r="AE44" i="18518"/>
  <c r="AE46" i="18518" s="1"/>
  <c r="AE75" i="18518" s="1"/>
  <c r="AH34" i="18518"/>
  <c r="AH50" i="18518" s="1"/>
  <c r="AG48" i="18518"/>
  <c r="AF48" i="18518"/>
  <c r="BP51" i="18517"/>
  <c r="BO43" i="18517"/>
  <c r="BO45" i="18517" s="1"/>
  <c r="AO47" i="18516"/>
  <c r="AQ51" i="18516"/>
  <c r="AP47" i="18516"/>
  <c r="AV47" i="18514"/>
  <c r="AV51" i="18514"/>
  <c r="AW51" i="18514"/>
  <c r="AW47" i="18514"/>
  <c r="AU43" i="18514"/>
  <c r="AU45" i="18514" s="1"/>
  <c r="AU74" i="18514" s="1"/>
  <c r="AT51" i="18514"/>
  <c r="AT47" i="18514"/>
  <c r="AS51" i="18514"/>
  <c r="AR43" i="18514"/>
  <c r="AR45" i="18514" s="1"/>
  <c r="AS47" i="18514"/>
  <c r="AP51" i="18514"/>
  <c r="AP47" i="18514"/>
  <c r="AJ47" i="18516"/>
  <c r="AG47" i="18516"/>
  <c r="AK43" i="18516"/>
  <c r="AK45" i="18516" s="1"/>
  <c r="AK74" i="18516" s="1"/>
  <c r="AF51" i="18516"/>
  <c r="AJ51" i="18516"/>
  <c r="AI43" i="18516"/>
  <c r="AI45" i="18516" s="1"/>
  <c r="AG51" i="18516"/>
  <c r="AE47" i="18516"/>
  <c r="AF47" i="18516"/>
  <c r="AH51" i="18516"/>
  <c r="AN47" i="18514"/>
  <c r="AO47" i="18514"/>
  <c r="AO51" i="18514"/>
  <c r="AN51" i="18514"/>
  <c r="AM43" i="18514"/>
  <c r="AM45" i="18514" s="1"/>
  <c r="AM74" i="18514" s="1"/>
  <c r="AL51" i="18514"/>
  <c r="AL47" i="18514"/>
  <c r="AJ47" i="18514"/>
  <c r="AJ51" i="18514"/>
  <c r="AK43" i="18514"/>
  <c r="AK45" i="18514" s="1"/>
  <c r="AK74" i="18514" s="1"/>
  <c r="AH47" i="18516"/>
  <c r="AD51" i="18516"/>
  <c r="AD47" i="18516"/>
  <c r="AE51" i="18516"/>
  <c r="AF52" i="18518"/>
  <c r="AJ48" i="18518"/>
  <c r="AJ52" i="18518"/>
  <c r="AM34" i="18518"/>
  <c r="AM50" i="18518" s="1"/>
  <c r="AK48" i="18518"/>
  <c r="AK52" i="18518"/>
  <c r="AE50" i="18518"/>
  <c r="AD48" i="18518"/>
  <c r="AD52" i="18518"/>
  <c r="AH48" i="18518"/>
  <c r="AH52" i="18518"/>
  <c r="Z47" i="18524"/>
  <c r="Z51" i="18524"/>
  <c r="X47" i="18524"/>
  <c r="X51" i="18524"/>
  <c r="U47" i="18524"/>
  <c r="U51" i="18524"/>
  <c r="T47" i="18524"/>
  <c r="T51" i="18524"/>
  <c r="BW47" i="18523" l="1"/>
  <c r="BW51" i="18523"/>
  <c r="AI52" i="18518"/>
  <c r="AR47" i="18514"/>
  <c r="AR74" i="18514"/>
  <c r="AQ74" i="18514"/>
  <c r="AQ47" i="18514"/>
  <c r="AQ51" i="18514"/>
  <c r="BO47" i="18517"/>
  <c r="BO74" i="18517"/>
  <c r="AI48" i="18518"/>
  <c r="AM52" i="18518"/>
  <c r="AW75" i="18518"/>
  <c r="AW48" i="18518"/>
  <c r="AW52" i="18518"/>
  <c r="AM48" i="18518"/>
  <c r="AM74" i="18516"/>
  <c r="AM47" i="18516"/>
  <c r="AM51" i="18516"/>
  <c r="AI51" i="18516"/>
  <c r="AI74" i="18516"/>
  <c r="BA51" i="18516"/>
  <c r="BA47" i="18516"/>
  <c r="AY48" i="18518"/>
  <c r="AY52" i="18518"/>
  <c r="AE48" i="18518"/>
  <c r="AE52" i="18518"/>
  <c r="BO51" i="18517"/>
  <c r="AR51" i="18514"/>
  <c r="AU51" i="18514"/>
  <c r="AU47" i="18514"/>
  <c r="AK51" i="18516"/>
  <c r="AK47" i="18516"/>
  <c r="AI47" i="18516"/>
  <c r="AM51" i="18514"/>
  <c r="AM47" i="18514"/>
  <c r="AK47" i="18514"/>
  <c r="AK51" i="18514"/>
  <c r="E9" i="18525" l="1"/>
  <c r="D9" i="18525"/>
  <c r="E8" i="18525"/>
  <c r="D8" i="18525"/>
  <c r="U46" i="1"/>
  <c r="T46" i="1"/>
  <c r="U31" i="1"/>
  <c r="T31" i="1"/>
  <c r="U30" i="1"/>
  <c r="T30" i="1"/>
  <c r="U29" i="1"/>
  <c r="T29" i="1"/>
  <c r="U28" i="1"/>
  <c r="T28" i="1"/>
  <c r="U24" i="1"/>
  <c r="T24" i="1"/>
  <c r="U23" i="1"/>
  <c r="T23" i="1"/>
  <c r="U22" i="1"/>
  <c r="T22" i="1"/>
  <c r="U21" i="1"/>
  <c r="T21" i="1"/>
  <c r="U20" i="1"/>
  <c r="T20" i="1"/>
  <c r="U19" i="1"/>
  <c r="T19" i="1"/>
  <c r="L42" i="1"/>
  <c r="K42" i="1"/>
  <c r="L41" i="1"/>
  <c r="K41" i="1"/>
  <c r="L39" i="1"/>
  <c r="K39" i="1"/>
  <c r="K40" i="1" s="1"/>
  <c r="L76" i="1"/>
  <c r="K76" i="1"/>
  <c r="L32" i="1"/>
  <c r="K32" i="1"/>
  <c r="L16" i="1"/>
  <c r="K16" i="1"/>
  <c r="L12" i="1"/>
  <c r="K12" i="1"/>
  <c r="N76" i="1"/>
  <c r="O40" i="1"/>
  <c r="N40" i="1"/>
  <c r="O32" i="1"/>
  <c r="N32" i="1"/>
  <c r="N16" i="1"/>
  <c r="O12" i="1"/>
  <c r="N12" i="1"/>
  <c r="AC76" i="18516"/>
  <c r="AB76" i="18516"/>
  <c r="AC40" i="18516"/>
  <c r="AB40" i="18516"/>
  <c r="AB73" i="18516" s="1"/>
  <c r="AC32" i="18516"/>
  <c r="AB32" i="18516"/>
  <c r="AC12" i="18516"/>
  <c r="AB12" i="18516"/>
  <c r="AA76" i="18516"/>
  <c r="Z76" i="18516"/>
  <c r="AA40" i="18516"/>
  <c r="Z40" i="18516"/>
  <c r="Z73" i="18516" s="1"/>
  <c r="AA32" i="18516"/>
  <c r="Z32" i="18516"/>
  <c r="AA12" i="18516"/>
  <c r="Z12" i="18516"/>
  <c r="Y42" i="18516"/>
  <c r="X42" i="18516"/>
  <c r="X41" i="18516"/>
  <c r="Y76" i="18516"/>
  <c r="X76" i="18516"/>
  <c r="Y40" i="18516"/>
  <c r="X40" i="18516"/>
  <c r="X73" i="18516" s="1"/>
  <c r="Y32" i="18516"/>
  <c r="X32" i="18516"/>
  <c r="Y12" i="18516"/>
  <c r="X12" i="18516"/>
  <c r="BL76" i="18517"/>
  <c r="BL32" i="18517"/>
  <c r="BL16" i="18517"/>
  <c r="BL12" i="18517"/>
  <c r="F42" i="1"/>
  <c r="F39" i="1"/>
  <c r="E42" i="1"/>
  <c r="E39" i="1"/>
  <c r="N73" i="1" l="1"/>
  <c r="J9" i="18525"/>
  <c r="L71" i="1"/>
  <c r="L80" i="1"/>
  <c r="L62" i="1"/>
  <c r="AI8" i="18525"/>
  <c r="N61" i="1"/>
  <c r="N60" i="1"/>
  <c r="N63" i="1"/>
  <c r="AD9" i="18525"/>
  <c r="L61" i="1"/>
  <c r="L79" i="1"/>
  <c r="L63" i="1"/>
  <c r="L60" i="1"/>
  <c r="AE8" i="18525"/>
  <c r="K60" i="1"/>
  <c r="K61" i="1"/>
  <c r="K63" i="1"/>
  <c r="AD8" i="18525"/>
  <c r="O62" i="1"/>
  <c r="O80" i="1"/>
  <c r="O71" i="1"/>
  <c r="AI9" i="18525"/>
  <c r="N62" i="1"/>
  <c r="N71" i="1"/>
  <c r="AH9" i="18525"/>
  <c r="K71" i="1"/>
  <c r="K62" i="1"/>
  <c r="AH8" i="18525"/>
  <c r="O84" i="1"/>
  <c r="O73" i="1"/>
  <c r="K9" i="18525"/>
  <c r="F83" i="1"/>
  <c r="N66" i="1"/>
  <c r="N65" i="1"/>
  <c r="N69" i="1"/>
  <c r="Z9" i="18525"/>
  <c r="K65" i="1"/>
  <c r="K69" i="1"/>
  <c r="K66" i="1"/>
  <c r="Z8" i="18525"/>
  <c r="K73" i="1"/>
  <c r="J8" i="18525"/>
  <c r="O78" i="1"/>
  <c r="O66" i="1"/>
  <c r="AA9" i="18525"/>
  <c r="L78" i="1"/>
  <c r="L66" i="1"/>
  <c r="L69" i="1"/>
  <c r="L65" i="1"/>
  <c r="AA8" i="18525"/>
  <c r="L83" i="1"/>
  <c r="BL71" i="18517"/>
  <c r="BL80" i="18517"/>
  <c r="BL62" i="18517"/>
  <c r="BL61" i="18517"/>
  <c r="BL60" i="18517"/>
  <c r="BL63" i="18517"/>
  <c r="BL79" i="18517"/>
  <c r="BL78" i="18517"/>
  <c r="BL66" i="18517"/>
  <c r="BL69" i="18517"/>
  <c r="BL65" i="18517"/>
  <c r="AC80" i="18516"/>
  <c r="AC71" i="18516"/>
  <c r="AC62" i="18516"/>
  <c r="AC61" i="18516"/>
  <c r="Z62" i="18516"/>
  <c r="Z71" i="18516"/>
  <c r="Z61" i="18516"/>
  <c r="AA80" i="18516"/>
  <c r="AA62" i="18516"/>
  <c r="AA71" i="18516"/>
  <c r="AA61" i="18516"/>
  <c r="AA84" i="18516"/>
  <c r="AA73" i="18516"/>
  <c r="Y78" i="18516"/>
  <c r="Y66" i="18516"/>
  <c r="Y69" i="18516"/>
  <c r="Y65" i="18516"/>
  <c r="Y63" i="18516"/>
  <c r="X71" i="18516"/>
  <c r="X62" i="18516"/>
  <c r="X61" i="18516"/>
  <c r="Y84" i="18516"/>
  <c r="Y73" i="18516"/>
  <c r="AB62" i="18516"/>
  <c r="AB71" i="18516"/>
  <c r="AB61" i="18516"/>
  <c r="X65" i="18516"/>
  <c r="X69" i="18516"/>
  <c r="X66" i="18516"/>
  <c r="X63" i="18516"/>
  <c r="AC73" i="18516"/>
  <c r="AC84" i="18516"/>
  <c r="Y71" i="18516"/>
  <c r="Y80" i="18516"/>
  <c r="Y62" i="18516"/>
  <c r="Y61" i="18516"/>
  <c r="Z69" i="18516"/>
  <c r="Z66" i="18516"/>
  <c r="Z65" i="18516"/>
  <c r="Z63" i="18516"/>
  <c r="AB66" i="18516"/>
  <c r="AB65" i="18516"/>
  <c r="AB69" i="18516"/>
  <c r="AB63" i="18516"/>
  <c r="AA78" i="18516"/>
  <c r="AA66" i="18516"/>
  <c r="AA65" i="18516"/>
  <c r="AA69" i="18516"/>
  <c r="AA63" i="18516"/>
  <c r="AC78" i="18516"/>
  <c r="AC66" i="18516"/>
  <c r="AC65" i="18516"/>
  <c r="AC69" i="18516"/>
  <c r="AC63" i="18516"/>
  <c r="AB33" i="18516"/>
  <c r="AB49" i="18516" s="1"/>
  <c r="L40" i="1"/>
  <c r="K33" i="1"/>
  <c r="K49" i="1" s="1"/>
  <c r="L33" i="1"/>
  <c r="L49" i="1" s="1"/>
  <c r="K43" i="1"/>
  <c r="K45" i="1" s="1"/>
  <c r="O43" i="1"/>
  <c r="O45" i="1" s="1"/>
  <c r="N43" i="1"/>
  <c r="N45" i="1" s="1"/>
  <c r="O16" i="1"/>
  <c r="O69" i="1" s="1"/>
  <c r="O76" i="1"/>
  <c r="N33" i="1"/>
  <c r="N49" i="1" s="1"/>
  <c r="AC43" i="18516"/>
  <c r="AC45" i="18516" s="1"/>
  <c r="AC74" i="18516" s="1"/>
  <c r="AB43" i="18516"/>
  <c r="AB45" i="18516" s="1"/>
  <c r="AB74" i="18516" s="1"/>
  <c r="AC33" i="18516"/>
  <c r="AC49" i="18516" s="1"/>
  <c r="AA33" i="18516"/>
  <c r="AA49" i="18516" s="1"/>
  <c r="Z43" i="18516"/>
  <c r="Z45" i="18516" s="1"/>
  <c r="Z74" i="18516" s="1"/>
  <c r="AA43" i="18516"/>
  <c r="AA45" i="18516" s="1"/>
  <c r="AA74" i="18516" s="1"/>
  <c r="Z33" i="18516"/>
  <c r="Z49" i="18516" s="1"/>
  <c r="Y43" i="18516"/>
  <c r="Y45" i="18516" s="1"/>
  <c r="Y74" i="18516" s="1"/>
  <c r="X33" i="18516"/>
  <c r="X49" i="18516" s="1"/>
  <c r="Y33" i="18516"/>
  <c r="Y49" i="18516" s="1"/>
  <c r="X43" i="18516"/>
  <c r="X45" i="18516" s="1"/>
  <c r="X74" i="18516" s="1"/>
  <c r="BL33" i="18517"/>
  <c r="BL49" i="18517" s="1"/>
  <c r="BL40" i="18517"/>
  <c r="K76" i="18521"/>
  <c r="J76" i="18521"/>
  <c r="G76" i="18521"/>
  <c r="F76" i="18521"/>
  <c r="E76" i="18521"/>
  <c r="D76" i="18521"/>
  <c r="C76" i="18521"/>
  <c r="B76" i="18521"/>
  <c r="C76" i="1"/>
  <c r="B76" i="1"/>
  <c r="F76" i="1"/>
  <c r="E76" i="1"/>
  <c r="I76" i="1"/>
  <c r="H76" i="1"/>
  <c r="I76" i="18522"/>
  <c r="H76" i="18522"/>
  <c r="F76" i="18522"/>
  <c r="E76" i="18522"/>
  <c r="E51" i="18520"/>
  <c r="D51" i="18520"/>
  <c r="E46" i="18520"/>
  <c r="D46" i="18520"/>
  <c r="E44" i="18520"/>
  <c r="D44" i="18520"/>
  <c r="E42" i="18520"/>
  <c r="D42" i="18520"/>
  <c r="E41" i="18520"/>
  <c r="D41" i="18520"/>
  <c r="E39" i="18520"/>
  <c r="D39" i="18520"/>
  <c r="E38" i="18520"/>
  <c r="D38" i="18520"/>
  <c r="E37" i="18520"/>
  <c r="D37" i="18520"/>
  <c r="D40" i="18520" s="1"/>
  <c r="D43" i="18520" s="1"/>
  <c r="E31" i="18520"/>
  <c r="D31" i="18520"/>
  <c r="E30" i="18520"/>
  <c r="D30" i="18520"/>
  <c r="E29" i="18520"/>
  <c r="D29" i="18520"/>
  <c r="E28" i="18520"/>
  <c r="D28" i="18520"/>
  <c r="E27" i="18520"/>
  <c r="D27" i="18520"/>
  <c r="E26" i="18520"/>
  <c r="D26" i="18520"/>
  <c r="E25" i="18520"/>
  <c r="D25" i="18520"/>
  <c r="E24" i="18520"/>
  <c r="D24" i="18520"/>
  <c r="E23" i="18520"/>
  <c r="D23" i="18520"/>
  <c r="E22" i="18520"/>
  <c r="D22" i="18520"/>
  <c r="E21" i="18520"/>
  <c r="D21" i="18520"/>
  <c r="E20" i="18520"/>
  <c r="D20" i="18520"/>
  <c r="D32" i="18520" s="1"/>
  <c r="E19" i="18520"/>
  <c r="D19" i="18520"/>
  <c r="E18" i="18520"/>
  <c r="D18" i="18520"/>
  <c r="E15" i="18520"/>
  <c r="D15" i="18520"/>
  <c r="E14" i="18520"/>
  <c r="E16" i="18520" s="1"/>
  <c r="D14" i="18520"/>
  <c r="E11" i="18520"/>
  <c r="D11" i="18520"/>
  <c r="E10" i="18520"/>
  <c r="D10" i="18520"/>
  <c r="E40" i="18520"/>
  <c r="E43" i="18520" s="1"/>
  <c r="E32" i="18520"/>
  <c r="D16" i="18520"/>
  <c r="E12" i="18520"/>
  <c r="D12" i="18520"/>
  <c r="N40" i="18519"/>
  <c r="CV16" i="18517"/>
  <c r="BV76" i="18516"/>
  <c r="AC77" i="18518"/>
  <c r="AB77" i="18518"/>
  <c r="AA77" i="18518"/>
  <c r="Z77" i="18518"/>
  <c r="Y77" i="18518"/>
  <c r="X77" i="18518"/>
  <c r="W77" i="18518"/>
  <c r="V77" i="18518"/>
  <c r="U77" i="18518"/>
  <c r="T77" i="18518"/>
  <c r="S77" i="18518"/>
  <c r="R77" i="18518"/>
  <c r="Q77" i="18518"/>
  <c r="P77" i="18518"/>
  <c r="O77" i="18518"/>
  <c r="N77" i="18518"/>
  <c r="M77" i="18518"/>
  <c r="L77" i="18518"/>
  <c r="K77" i="18518"/>
  <c r="J77" i="18518"/>
  <c r="I77" i="18518"/>
  <c r="H77" i="18518"/>
  <c r="G77" i="18518"/>
  <c r="F77" i="18518"/>
  <c r="E77" i="18518"/>
  <c r="D77" i="18518"/>
  <c r="C77" i="18518"/>
  <c r="B77" i="18518"/>
  <c r="BN76" i="18517"/>
  <c r="BM76" i="18517"/>
  <c r="BJ76" i="18517"/>
  <c r="BI76" i="18517"/>
  <c r="BH76" i="18517"/>
  <c r="BG76" i="18517"/>
  <c r="BF76" i="18517"/>
  <c r="BE76" i="18517"/>
  <c r="BD76" i="18517"/>
  <c r="BC76" i="18517"/>
  <c r="BB76" i="18517"/>
  <c r="BA76" i="18517"/>
  <c r="AZ76" i="18517"/>
  <c r="AY76" i="18517"/>
  <c r="AX76" i="18517"/>
  <c r="AW76" i="18517"/>
  <c r="AV76" i="18517"/>
  <c r="AU76" i="18517"/>
  <c r="AT76" i="18517"/>
  <c r="AS76" i="18517"/>
  <c r="AR76" i="18517"/>
  <c r="AQ76" i="18517"/>
  <c r="AP76" i="18517"/>
  <c r="AO76" i="18517"/>
  <c r="AN76" i="18517"/>
  <c r="AM76" i="18517"/>
  <c r="AL76" i="18517"/>
  <c r="AK76" i="18517"/>
  <c r="AJ76" i="18517"/>
  <c r="AI76" i="18517"/>
  <c r="AH76" i="18517"/>
  <c r="AG76" i="18517"/>
  <c r="AF76" i="18517"/>
  <c r="AE76" i="18517"/>
  <c r="AD76" i="18517"/>
  <c r="AC76" i="18517"/>
  <c r="AB76" i="18517"/>
  <c r="AA76" i="18517"/>
  <c r="Z76" i="18517"/>
  <c r="Y76" i="18517"/>
  <c r="X76" i="18517"/>
  <c r="W76" i="18517"/>
  <c r="U76" i="18517"/>
  <c r="T76" i="18517"/>
  <c r="S76" i="18517"/>
  <c r="R76" i="18517"/>
  <c r="Q76" i="18517"/>
  <c r="P76" i="18517"/>
  <c r="O76" i="18517"/>
  <c r="N76" i="18517"/>
  <c r="M76" i="18517"/>
  <c r="L76" i="18517"/>
  <c r="K76" i="18517"/>
  <c r="J76" i="18517"/>
  <c r="I76" i="18517"/>
  <c r="H76" i="18517"/>
  <c r="G76" i="18517"/>
  <c r="F76" i="18517"/>
  <c r="E76" i="18517"/>
  <c r="D76" i="18517"/>
  <c r="C76" i="18517"/>
  <c r="B76" i="18517"/>
  <c r="W76" i="18516"/>
  <c r="V76" i="18516"/>
  <c r="U76" i="18516"/>
  <c r="T76" i="18516"/>
  <c r="S76" i="18516"/>
  <c r="R76" i="18516"/>
  <c r="Q76" i="18516"/>
  <c r="P76" i="18516"/>
  <c r="O76" i="18516"/>
  <c r="N76" i="18516"/>
  <c r="M76" i="18516"/>
  <c r="L76" i="18516"/>
  <c r="K76" i="18516"/>
  <c r="J76" i="18516"/>
  <c r="I76" i="18516"/>
  <c r="H76" i="18516"/>
  <c r="G76" i="18516"/>
  <c r="F76" i="18516"/>
  <c r="E76" i="18516"/>
  <c r="D76" i="18516"/>
  <c r="C76" i="18516"/>
  <c r="B76" i="18516"/>
  <c r="AI76" i="18514"/>
  <c r="AH76" i="18514"/>
  <c r="AG76" i="18514"/>
  <c r="AF76" i="18514"/>
  <c r="AE76" i="18514"/>
  <c r="AD76" i="18514"/>
  <c r="AC76" i="18514"/>
  <c r="AB76" i="18514"/>
  <c r="AA76" i="18514"/>
  <c r="Z76" i="18514"/>
  <c r="Y76" i="18514"/>
  <c r="X76" i="18514"/>
  <c r="W76" i="18514"/>
  <c r="V76" i="18514"/>
  <c r="U76" i="18514"/>
  <c r="T76" i="18514"/>
  <c r="S76" i="18514"/>
  <c r="R76" i="18514"/>
  <c r="Q76" i="18514"/>
  <c r="P76" i="18514"/>
  <c r="O76" i="18514"/>
  <c r="N76" i="18514"/>
  <c r="K76" i="18514"/>
  <c r="J76" i="18514"/>
  <c r="I76" i="18514"/>
  <c r="H76" i="18514"/>
  <c r="G76" i="18514"/>
  <c r="F76" i="18514"/>
  <c r="E76" i="18514"/>
  <c r="D76" i="18514"/>
  <c r="C76" i="18514"/>
  <c r="B76" i="18514"/>
  <c r="R76" i="18524"/>
  <c r="Q76" i="18524"/>
  <c r="O76" i="18524"/>
  <c r="N76" i="18524"/>
  <c r="L76" i="18524"/>
  <c r="K76" i="18524"/>
  <c r="I76" i="18524"/>
  <c r="H76" i="18524"/>
  <c r="C76" i="18524"/>
  <c r="B76" i="18524"/>
  <c r="BT76" i="18523"/>
  <c r="BS76" i="18523"/>
  <c r="BQ76" i="18523"/>
  <c r="BP76" i="18523"/>
  <c r="BN76" i="18523"/>
  <c r="BM76" i="18523"/>
  <c r="BK76" i="18523"/>
  <c r="BJ76" i="18523"/>
  <c r="BH76" i="18523"/>
  <c r="BG76" i="18523"/>
  <c r="BE76" i="18523"/>
  <c r="BD76" i="18523"/>
  <c r="BB76" i="18523"/>
  <c r="BA76" i="18523"/>
  <c r="AY76" i="18523"/>
  <c r="AX76" i="18523"/>
  <c r="AV76" i="18523"/>
  <c r="AU76" i="18523"/>
  <c r="AS76" i="18523"/>
  <c r="AR76" i="18523"/>
  <c r="AP76" i="18523"/>
  <c r="AO76" i="18523"/>
  <c r="AM76" i="18523"/>
  <c r="AL76" i="18523"/>
  <c r="AJ76" i="18523"/>
  <c r="AI76" i="18523"/>
  <c r="AG76" i="18523"/>
  <c r="AF76" i="18523"/>
  <c r="AD76" i="18523"/>
  <c r="AC76" i="18523"/>
  <c r="AA76" i="18523"/>
  <c r="Z76" i="18523"/>
  <c r="X76" i="18523"/>
  <c r="W76" i="18523"/>
  <c r="U76" i="18523"/>
  <c r="T76" i="18523"/>
  <c r="R76" i="18523"/>
  <c r="Q76" i="18523"/>
  <c r="O76" i="18523"/>
  <c r="N76" i="18523"/>
  <c r="L76" i="18523"/>
  <c r="K76" i="18523"/>
  <c r="I76" i="18523"/>
  <c r="F76" i="18523"/>
  <c r="E76" i="18523"/>
  <c r="C76" i="18523"/>
  <c r="B76" i="18523"/>
  <c r="CI12" i="18523"/>
  <c r="L46" i="18522"/>
  <c r="K46" i="18522"/>
  <c r="L29" i="18522"/>
  <c r="K29" i="18522"/>
  <c r="L28" i="18522"/>
  <c r="K28" i="18522"/>
  <c r="L26" i="18522"/>
  <c r="K26" i="18522"/>
  <c r="L25" i="18522"/>
  <c r="K25" i="18522"/>
  <c r="L23" i="18522"/>
  <c r="K23" i="18522"/>
  <c r="L22" i="18522"/>
  <c r="K22" i="18522"/>
  <c r="L20" i="18522"/>
  <c r="K20" i="18522"/>
  <c r="L19" i="18522"/>
  <c r="K19" i="18522"/>
  <c r="C76" i="18520"/>
  <c r="B76" i="18520"/>
  <c r="K76" i="18519"/>
  <c r="J76" i="18519"/>
  <c r="I76" i="18519"/>
  <c r="H76" i="18519"/>
  <c r="G76" i="18519"/>
  <c r="F76" i="18519"/>
  <c r="E76" i="18519"/>
  <c r="D76" i="18519"/>
  <c r="C76" i="18519"/>
  <c r="B76" i="18519"/>
  <c r="F50" i="18524"/>
  <c r="E50" i="18524"/>
  <c r="F44" i="18524"/>
  <c r="AG44" i="18524" s="1"/>
  <c r="E44" i="18524"/>
  <c r="AF44" i="18524" s="1"/>
  <c r="O42" i="18524"/>
  <c r="N42" i="18524"/>
  <c r="L42" i="18524"/>
  <c r="K42" i="18524"/>
  <c r="F42" i="18524"/>
  <c r="E42" i="18524"/>
  <c r="C42" i="18524"/>
  <c r="B42" i="18524"/>
  <c r="R41" i="18524"/>
  <c r="Q41" i="18524"/>
  <c r="F41" i="18524"/>
  <c r="E41" i="18524"/>
  <c r="C41" i="18524"/>
  <c r="B41" i="18524"/>
  <c r="O40" i="18524"/>
  <c r="N40" i="18524"/>
  <c r="N73" i="18524" s="1"/>
  <c r="L40" i="18524"/>
  <c r="K40" i="18524"/>
  <c r="K73" i="18524" s="1"/>
  <c r="I40" i="18524"/>
  <c r="H40" i="18524"/>
  <c r="H73" i="18524" s="1"/>
  <c r="C40" i="18524"/>
  <c r="B40" i="18524"/>
  <c r="B73" i="18524" s="1"/>
  <c r="R39" i="18524"/>
  <c r="Q39" i="18524"/>
  <c r="Q40" i="18524" s="1"/>
  <c r="Q73" i="18524" s="1"/>
  <c r="F39" i="18524"/>
  <c r="E39" i="18524"/>
  <c r="R32" i="18524"/>
  <c r="Q32" i="18524"/>
  <c r="O32" i="18524"/>
  <c r="N32" i="18524"/>
  <c r="L32" i="18524"/>
  <c r="K32" i="18524"/>
  <c r="I32" i="18524"/>
  <c r="H32" i="18524"/>
  <c r="C32" i="18524"/>
  <c r="F30" i="18524"/>
  <c r="AG30" i="18524" s="1"/>
  <c r="E30" i="18524"/>
  <c r="AF30" i="18524" s="1"/>
  <c r="F27" i="18524"/>
  <c r="E27" i="18524"/>
  <c r="B27" i="18524"/>
  <c r="F26" i="18524"/>
  <c r="AG26" i="18524" s="1"/>
  <c r="E26" i="18524"/>
  <c r="AF26" i="18524" s="1"/>
  <c r="F18" i="18524"/>
  <c r="AG18" i="18524" s="1"/>
  <c r="E18" i="18524"/>
  <c r="AF18" i="18524" s="1"/>
  <c r="R16" i="18524"/>
  <c r="Q16" i="18524"/>
  <c r="O16" i="18524"/>
  <c r="N16" i="18524"/>
  <c r="L16" i="18524"/>
  <c r="K16" i="18524"/>
  <c r="I16" i="18524"/>
  <c r="H16" i="18524"/>
  <c r="C16" i="18524"/>
  <c r="B16" i="18524"/>
  <c r="F15" i="18524"/>
  <c r="AG15" i="18524" s="1"/>
  <c r="E15" i="18524"/>
  <c r="AF15" i="18524" s="1"/>
  <c r="F14" i="18524"/>
  <c r="AG14" i="18524" s="1"/>
  <c r="E14" i="18524"/>
  <c r="AF14" i="18524" s="1"/>
  <c r="R12" i="18524"/>
  <c r="Q12" i="18524"/>
  <c r="O12" i="18524"/>
  <c r="N12" i="18524"/>
  <c r="L12" i="18524"/>
  <c r="K12" i="18524"/>
  <c r="I12" i="18524"/>
  <c r="H12" i="18524"/>
  <c r="C12" i="18524"/>
  <c r="B12" i="18524"/>
  <c r="F10" i="18524"/>
  <c r="AG10" i="18524" s="1"/>
  <c r="E10" i="18524"/>
  <c r="AF10" i="18524" s="1"/>
  <c r="BH42" i="18523"/>
  <c r="BG42" i="18523"/>
  <c r="BE42" i="18523"/>
  <c r="BD42" i="18523"/>
  <c r="AY42" i="18523"/>
  <c r="AX42" i="18523"/>
  <c r="AS42" i="18523"/>
  <c r="AR42" i="18523"/>
  <c r="AF42" i="18523"/>
  <c r="AC42" i="18523"/>
  <c r="AA42" i="18523"/>
  <c r="Z42" i="18523"/>
  <c r="X42" i="18523"/>
  <c r="W42" i="18523"/>
  <c r="I42" i="18523"/>
  <c r="H42" i="18523"/>
  <c r="F42" i="18523"/>
  <c r="E42" i="18523"/>
  <c r="C42" i="18523"/>
  <c r="BH41" i="18523"/>
  <c r="BG41" i="18523"/>
  <c r="BE41" i="18523"/>
  <c r="BD41" i="18523"/>
  <c r="AY41" i="18523"/>
  <c r="AX41" i="18523"/>
  <c r="AM41" i="18523"/>
  <c r="AG41" i="18523"/>
  <c r="AF41" i="18523"/>
  <c r="AD41" i="18523"/>
  <c r="Z41" i="18523"/>
  <c r="X41" i="18523"/>
  <c r="W41" i="18523"/>
  <c r="I41" i="18523"/>
  <c r="H41" i="18523"/>
  <c r="E41" i="18523"/>
  <c r="BT40" i="18523"/>
  <c r="BS40" i="18523"/>
  <c r="BS73" i="18523" s="1"/>
  <c r="BQ40" i="18523"/>
  <c r="BP40" i="18523"/>
  <c r="BP73" i="18523" s="1"/>
  <c r="BN40" i="18523"/>
  <c r="BM40" i="18523"/>
  <c r="BM73" i="18523" s="1"/>
  <c r="BK40" i="18523"/>
  <c r="BJ40" i="18523"/>
  <c r="BJ73" i="18523" s="1"/>
  <c r="AV40" i="18523"/>
  <c r="AU40" i="18523"/>
  <c r="AU73" i="18523" s="1"/>
  <c r="AS40" i="18523"/>
  <c r="AR40" i="18523"/>
  <c r="AR73" i="18523" s="1"/>
  <c r="AP40" i="18523"/>
  <c r="AO40" i="18523"/>
  <c r="AO73" i="18523" s="1"/>
  <c r="AM40" i="18523"/>
  <c r="AL40" i="18523"/>
  <c r="AL73" i="18523" s="1"/>
  <c r="AJ40" i="18523"/>
  <c r="AI40" i="18523"/>
  <c r="AI73" i="18523" s="1"/>
  <c r="AG40" i="18523"/>
  <c r="AF40" i="18523"/>
  <c r="AF73" i="18523" s="1"/>
  <c r="AD40" i="18523"/>
  <c r="AC40" i="18523"/>
  <c r="AC73" i="18523" s="1"/>
  <c r="AA40" i="18523"/>
  <c r="Z40" i="18523"/>
  <c r="Z73" i="18523" s="1"/>
  <c r="R40" i="18523"/>
  <c r="Q40" i="18523"/>
  <c r="Q73" i="18523" s="1"/>
  <c r="O40" i="18523"/>
  <c r="N40" i="18523"/>
  <c r="N73" i="18523" s="1"/>
  <c r="L40" i="18523"/>
  <c r="K40" i="18523"/>
  <c r="K73" i="18523" s="1"/>
  <c r="BH39" i="18523"/>
  <c r="BG39" i="18523"/>
  <c r="BG40" i="18523" s="1"/>
  <c r="BG73" i="18523" s="1"/>
  <c r="BE39" i="18523"/>
  <c r="BD39" i="18523"/>
  <c r="BD40" i="18523" s="1"/>
  <c r="BD73" i="18523" s="1"/>
  <c r="BB39" i="18523"/>
  <c r="BA39" i="18523"/>
  <c r="BA40" i="18523" s="1"/>
  <c r="BA73" i="18523" s="1"/>
  <c r="AY39" i="18523"/>
  <c r="AX39" i="18523"/>
  <c r="AX40" i="18523" s="1"/>
  <c r="AX73" i="18523" s="1"/>
  <c r="U39" i="18523"/>
  <c r="T39" i="18523"/>
  <c r="C39" i="18523"/>
  <c r="X38" i="18523"/>
  <c r="W38" i="18523"/>
  <c r="W40" i="18523" s="1"/>
  <c r="W73" i="18523" s="1"/>
  <c r="I38" i="18523"/>
  <c r="H38" i="18523"/>
  <c r="H40" i="18523" s="1"/>
  <c r="H73" i="18523" s="1"/>
  <c r="F38" i="18523"/>
  <c r="E38" i="18523"/>
  <c r="E40" i="18523" s="1"/>
  <c r="E73" i="18523" s="1"/>
  <c r="C38" i="18523"/>
  <c r="B38" i="18523"/>
  <c r="I37" i="18523"/>
  <c r="CI37" i="18523" s="1"/>
  <c r="BT32" i="18523"/>
  <c r="BS32" i="18523"/>
  <c r="BQ32" i="18523"/>
  <c r="BP32" i="18523"/>
  <c r="BN32" i="18523"/>
  <c r="BM32" i="18523"/>
  <c r="BK32" i="18523"/>
  <c r="BJ32" i="18523"/>
  <c r="BH32" i="18523"/>
  <c r="BG32" i="18523"/>
  <c r="BE32" i="18523"/>
  <c r="BD32" i="18523"/>
  <c r="BB32" i="18523"/>
  <c r="BA32" i="18523"/>
  <c r="AY32" i="18523"/>
  <c r="AX32" i="18523"/>
  <c r="AS32" i="18523"/>
  <c r="AR32" i="18523"/>
  <c r="AP32" i="18523"/>
  <c r="AO32" i="18523"/>
  <c r="AM32" i="18523"/>
  <c r="AL32" i="18523"/>
  <c r="AJ32" i="18523"/>
  <c r="AI32" i="18523"/>
  <c r="AG32" i="18523"/>
  <c r="AF32" i="18523"/>
  <c r="AD32" i="18523"/>
  <c r="AC32" i="18523"/>
  <c r="AA32" i="18523"/>
  <c r="Z32" i="18523"/>
  <c r="X32" i="18523"/>
  <c r="W32" i="18523"/>
  <c r="U32" i="18523"/>
  <c r="T32" i="18523"/>
  <c r="R32" i="18523"/>
  <c r="Q32" i="18523"/>
  <c r="O32" i="18523"/>
  <c r="N32" i="18523"/>
  <c r="L32" i="18523"/>
  <c r="K32" i="18523"/>
  <c r="I32" i="18523"/>
  <c r="H32" i="18523"/>
  <c r="F32" i="18523"/>
  <c r="E32" i="18523"/>
  <c r="C32" i="18523"/>
  <c r="B32" i="18523"/>
  <c r="AV26" i="18523"/>
  <c r="CI26" i="18523" s="1"/>
  <c r="AU26" i="18523"/>
  <c r="CH26" i="18523" s="1"/>
  <c r="BT16" i="18523"/>
  <c r="BS16" i="18523"/>
  <c r="BQ16" i="18523"/>
  <c r="BP16" i="18523"/>
  <c r="BN16" i="18523"/>
  <c r="BM16" i="18523"/>
  <c r="BK16" i="18523"/>
  <c r="BJ16" i="18523"/>
  <c r="BH16" i="18523"/>
  <c r="BG16" i="18523"/>
  <c r="BE16" i="18523"/>
  <c r="BD16" i="18523"/>
  <c r="BB16" i="18523"/>
  <c r="BA16" i="18523"/>
  <c r="AY16" i="18523"/>
  <c r="AX16" i="18523"/>
  <c r="AV16" i="18523"/>
  <c r="AU16" i="18523"/>
  <c r="AS16" i="18523"/>
  <c r="AR16" i="18523"/>
  <c r="AP16" i="18523"/>
  <c r="AO16" i="18523"/>
  <c r="AM16" i="18523"/>
  <c r="AL16" i="18523"/>
  <c r="AJ16" i="18523"/>
  <c r="AI16" i="18523"/>
  <c r="AG16" i="18523"/>
  <c r="AF16" i="18523"/>
  <c r="AD16" i="18523"/>
  <c r="AC16" i="18523"/>
  <c r="AA16" i="18523"/>
  <c r="Z16" i="18523"/>
  <c r="X16" i="18523"/>
  <c r="W16" i="18523"/>
  <c r="U16" i="18523"/>
  <c r="T16" i="18523"/>
  <c r="R16" i="18523"/>
  <c r="Q16" i="18523"/>
  <c r="O16" i="18523"/>
  <c r="N16" i="18523"/>
  <c r="L16" i="18523"/>
  <c r="K16" i="18523"/>
  <c r="I16" i="18523"/>
  <c r="H16" i="18523"/>
  <c r="F16" i="18523"/>
  <c r="E16" i="18523"/>
  <c r="C16" i="18523"/>
  <c r="B16" i="18523"/>
  <c r="BT12" i="18523"/>
  <c r="BS12" i="18523"/>
  <c r="BQ12" i="18523"/>
  <c r="BP12" i="18523"/>
  <c r="BN12" i="18523"/>
  <c r="BM12" i="18523"/>
  <c r="BK12" i="18523"/>
  <c r="BJ12" i="18523"/>
  <c r="BH12" i="18523"/>
  <c r="BG12" i="18523"/>
  <c r="BE12" i="18523"/>
  <c r="BD12" i="18523"/>
  <c r="BB12" i="18523"/>
  <c r="BA12" i="18523"/>
  <c r="AY12" i="18523"/>
  <c r="AX12" i="18523"/>
  <c r="AV12" i="18523"/>
  <c r="AU12" i="18523"/>
  <c r="AS12" i="18523"/>
  <c r="AR12" i="18523"/>
  <c r="AP12" i="18523"/>
  <c r="AO12" i="18523"/>
  <c r="AM12" i="18523"/>
  <c r="AL12" i="18523"/>
  <c r="AJ12" i="18523"/>
  <c r="AI12" i="18523"/>
  <c r="AG12" i="18523"/>
  <c r="AF12" i="18523"/>
  <c r="AD12" i="18523"/>
  <c r="AC12" i="18523"/>
  <c r="AA12" i="18523"/>
  <c r="Z12" i="18523"/>
  <c r="X12" i="18523"/>
  <c r="U12" i="18523"/>
  <c r="T12" i="18523"/>
  <c r="R12" i="18523"/>
  <c r="Q12" i="18523"/>
  <c r="O12" i="18523"/>
  <c r="N12" i="18523"/>
  <c r="L12" i="18523"/>
  <c r="K12" i="18523"/>
  <c r="I12" i="18523"/>
  <c r="F12" i="18523"/>
  <c r="E12" i="18523"/>
  <c r="C12" i="18523"/>
  <c r="B12" i="18523"/>
  <c r="W11" i="18523"/>
  <c r="CH11" i="18523" s="1"/>
  <c r="H10" i="18523"/>
  <c r="CH10" i="18523" s="1"/>
  <c r="C44" i="18522"/>
  <c r="L44" i="18522" s="1"/>
  <c r="B44" i="18522"/>
  <c r="K44" i="18522" s="1"/>
  <c r="I42" i="18522"/>
  <c r="H42" i="18522"/>
  <c r="F42" i="18522"/>
  <c r="E42" i="18522"/>
  <c r="C42" i="18522"/>
  <c r="B42" i="18522"/>
  <c r="I41" i="18522"/>
  <c r="H41" i="18522"/>
  <c r="F41" i="18522"/>
  <c r="E41" i="18522"/>
  <c r="C41" i="18522"/>
  <c r="L41" i="18522" s="1"/>
  <c r="B41" i="18522"/>
  <c r="K41" i="18522" s="1"/>
  <c r="I39" i="18522"/>
  <c r="H39" i="18522"/>
  <c r="H40" i="18522" s="1"/>
  <c r="H73" i="18522" s="1"/>
  <c r="F39" i="18522"/>
  <c r="E39" i="18522"/>
  <c r="C39" i="18522"/>
  <c r="B39" i="18522"/>
  <c r="B40" i="18522" s="1"/>
  <c r="B73" i="18522" s="1"/>
  <c r="F38" i="18522"/>
  <c r="E38" i="18522"/>
  <c r="K38" i="18522" s="1"/>
  <c r="C37" i="18522"/>
  <c r="C81" i="18522" s="1"/>
  <c r="B37" i="18522"/>
  <c r="K37" i="18522" s="1"/>
  <c r="I32" i="18522"/>
  <c r="H32" i="18522"/>
  <c r="F32" i="18522"/>
  <c r="E32" i="18522"/>
  <c r="C31" i="18522"/>
  <c r="L31" i="18522" s="1"/>
  <c r="B31" i="18522"/>
  <c r="K31" i="18522" s="1"/>
  <c r="C30" i="18522"/>
  <c r="L30" i="18522" s="1"/>
  <c r="B30" i="18522"/>
  <c r="K30" i="18522" s="1"/>
  <c r="C27" i="18522"/>
  <c r="L27" i="18522" s="1"/>
  <c r="B27" i="18522"/>
  <c r="K27" i="18522" s="1"/>
  <c r="C24" i="18522"/>
  <c r="L24" i="18522" s="1"/>
  <c r="B24" i="18522"/>
  <c r="K24" i="18522" s="1"/>
  <c r="C21" i="18522"/>
  <c r="L21" i="18522" s="1"/>
  <c r="B21" i="18522"/>
  <c r="K21" i="18522" s="1"/>
  <c r="C18" i="18522"/>
  <c r="L18" i="18522" s="1"/>
  <c r="B18" i="18522"/>
  <c r="K18" i="18522" s="1"/>
  <c r="I16" i="18522"/>
  <c r="H16" i="18522"/>
  <c r="F16" i="18522"/>
  <c r="E16" i="18522"/>
  <c r="C15" i="18522"/>
  <c r="B15" i="18522"/>
  <c r="C14" i="18522"/>
  <c r="B14" i="18522"/>
  <c r="I12" i="18522"/>
  <c r="H12" i="18522"/>
  <c r="F12" i="18522"/>
  <c r="E12" i="18522"/>
  <c r="C11" i="18522"/>
  <c r="C68" i="18522" s="1"/>
  <c r="B11" i="18522"/>
  <c r="C10" i="18522"/>
  <c r="C58" i="18522" s="1"/>
  <c r="B10" i="18522"/>
  <c r="K10" i="18522" s="1"/>
  <c r="G44" i="18521"/>
  <c r="K42" i="18521"/>
  <c r="J42" i="18521"/>
  <c r="F42" i="18521"/>
  <c r="J41" i="18521"/>
  <c r="J40" i="18521"/>
  <c r="J73" i="18521" s="1"/>
  <c r="C40" i="18521"/>
  <c r="B40" i="18521"/>
  <c r="B73" i="18521" s="1"/>
  <c r="G39" i="18521"/>
  <c r="F39" i="18521"/>
  <c r="F40" i="18521" s="1"/>
  <c r="F73" i="18521" s="1"/>
  <c r="E39" i="18521"/>
  <c r="D39" i="18521"/>
  <c r="D40" i="18521" s="1"/>
  <c r="D73" i="18521" s="1"/>
  <c r="K37" i="18521"/>
  <c r="K81" i="18521" s="1"/>
  <c r="K32" i="18521"/>
  <c r="G32" i="18521"/>
  <c r="F32" i="18521"/>
  <c r="E32" i="18521"/>
  <c r="D32" i="18521"/>
  <c r="B30" i="18521"/>
  <c r="J27" i="18521"/>
  <c r="J32" i="18521" s="1"/>
  <c r="C21" i="18521"/>
  <c r="C32" i="18521" s="1"/>
  <c r="B21" i="18521"/>
  <c r="K16" i="18521"/>
  <c r="J16" i="18521"/>
  <c r="G16" i="18521"/>
  <c r="F16" i="18521"/>
  <c r="E16" i="18521"/>
  <c r="D16" i="18521"/>
  <c r="C16" i="18521"/>
  <c r="B16" i="18521"/>
  <c r="K12" i="18521"/>
  <c r="J12" i="18521"/>
  <c r="G12" i="18521"/>
  <c r="F12" i="18521"/>
  <c r="E12" i="18521"/>
  <c r="D12" i="18521"/>
  <c r="C12" i="18521"/>
  <c r="B12" i="18521"/>
  <c r="C40" i="18520"/>
  <c r="C43" i="18520" s="1"/>
  <c r="C45" i="18520" s="1"/>
  <c r="B40" i="18520"/>
  <c r="B43" i="18520" s="1"/>
  <c r="B45" i="18520" s="1"/>
  <c r="C32" i="18520"/>
  <c r="B32" i="18520"/>
  <c r="C16" i="18520"/>
  <c r="B16" i="18520"/>
  <c r="C12" i="18520"/>
  <c r="B12" i="18520"/>
  <c r="K40" i="18519"/>
  <c r="K43" i="18519" s="1"/>
  <c r="K45" i="18519" s="1"/>
  <c r="K51" i="18519" s="1"/>
  <c r="J40" i="18519"/>
  <c r="J43" i="18519" s="1"/>
  <c r="J45" i="18519" s="1"/>
  <c r="K32" i="18519"/>
  <c r="J32" i="18519"/>
  <c r="K16" i="18519"/>
  <c r="J16" i="18519"/>
  <c r="K12" i="18519"/>
  <c r="J12" i="18519"/>
  <c r="G42" i="18519"/>
  <c r="F42" i="18519"/>
  <c r="I40" i="18519"/>
  <c r="I43" i="18519" s="1"/>
  <c r="I45" i="18519" s="1"/>
  <c r="H40" i="18519"/>
  <c r="H43" i="18519" s="1"/>
  <c r="H45" i="18519" s="1"/>
  <c r="F40" i="18519"/>
  <c r="G39" i="18519"/>
  <c r="G40" i="18519" s="1"/>
  <c r="I32" i="18519"/>
  <c r="H32" i="18519"/>
  <c r="G18" i="18519"/>
  <c r="G32" i="18519" s="1"/>
  <c r="F18" i="18519"/>
  <c r="F32" i="18519" s="1"/>
  <c r="I16" i="18519"/>
  <c r="H16" i="18519"/>
  <c r="G16" i="18519"/>
  <c r="F16" i="18519"/>
  <c r="I12" i="18519"/>
  <c r="H12" i="18519"/>
  <c r="G12" i="18519"/>
  <c r="F12" i="18519"/>
  <c r="E40" i="18519"/>
  <c r="E43" i="18519" s="1"/>
  <c r="E45" i="18519" s="1"/>
  <c r="D40" i="18519"/>
  <c r="D43" i="18519" s="1"/>
  <c r="D45" i="18519" s="1"/>
  <c r="E32" i="18519"/>
  <c r="D32" i="18519"/>
  <c r="E16" i="18519"/>
  <c r="D16" i="18519"/>
  <c r="E12" i="18519"/>
  <c r="D12" i="18519"/>
  <c r="C42" i="18519"/>
  <c r="B42" i="18519"/>
  <c r="C40" i="18519"/>
  <c r="B40" i="18519"/>
  <c r="C32" i="18519"/>
  <c r="B32" i="18519"/>
  <c r="C16" i="18519"/>
  <c r="B16" i="18519"/>
  <c r="C12" i="18519"/>
  <c r="B12" i="18519"/>
  <c r="AA43" i="18518"/>
  <c r="Z43" i="18518"/>
  <c r="W43" i="18518"/>
  <c r="V43" i="18518"/>
  <c r="AA42" i="18518"/>
  <c r="AC41" i="18518"/>
  <c r="AB41" i="18518"/>
  <c r="AB74" i="18518" s="1"/>
  <c r="X41" i="18518"/>
  <c r="X74" i="18518" s="1"/>
  <c r="W41" i="18518"/>
  <c r="V41" i="18518"/>
  <c r="V74" i="18518" s="1"/>
  <c r="AA40" i="18518"/>
  <c r="Z40" i="18518"/>
  <c r="Z41" i="18518" s="1"/>
  <c r="Z74" i="18518" s="1"/>
  <c r="Y40" i="18518"/>
  <c r="Y84" i="18518" s="1"/>
  <c r="AC33" i="18518"/>
  <c r="AB33" i="18518"/>
  <c r="AA33" i="18518"/>
  <c r="Z33" i="18518"/>
  <c r="Y33" i="18518"/>
  <c r="X33" i="18518"/>
  <c r="W33" i="18518"/>
  <c r="V33" i="18518"/>
  <c r="AC16" i="18518"/>
  <c r="AB16" i="18518"/>
  <c r="AA16" i="18518"/>
  <c r="Z16" i="18518"/>
  <c r="Y16" i="18518"/>
  <c r="X16" i="18518"/>
  <c r="W16" i="18518"/>
  <c r="V16" i="18518"/>
  <c r="AC12" i="18518"/>
  <c r="AB12" i="18518"/>
  <c r="AA12" i="18518"/>
  <c r="Z12" i="18518"/>
  <c r="X12" i="18518"/>
  <c r="W12" i="18518"/>
  <c r="V12" i="18518"/>
  <c r="Y11" i="18518"/>
  <c r="U43" i="18518"/>
  <c r="T43" i="18518"/>
  <c r="Q43" i="18518"/>
  <c r="P43" i="18518"/>
  <c r="O43" i="18518"/>
  <c r="K43" i="18518"/>
  <c r="U42" i="18518"/>
  <c r="T42" i="18518"/>
  <c r="Q42" i="18518"/>
  <c r="P42" i="18518"/>
  <c r="K42" i="18518"/>
  <c r="U41" i="18518"/>
  <c r="T41" i="18518"/>
  <c r="T74" i="18518" s="1"/>
  <c r="S41" i="18518"/>
  <c r="R41" i="18518"/>
  <c r="R74" i="18518" s="1"/>
  <c r="Q41" i="18518"/>
  <c r="P41" i="18518"/>
  <c r="P74" i="18518" s="1"/>
  <c r="O41" i="18518"/>
  <c r="N41" i="18518"/>
  <c r="N74" i="18518" s="1"/>
  <c r="M41" i="18518"/>
  <c r="L41" i="18518"/>
  <c r="L74" i="18518" s="1"/>
  <c r="K41" i="18518"/>
  <c r="J41" i="18518"/>
  <c r="J74" i="18518" s="1"/>
  <c r="U33" i="18518"/>
  <c r="T33" i="18518"/>
  <c r="S33" i="18518"/>
  <c r="R33" i="18518"/>
  <c r="O33" i="18518"/>
  <c r="N33" i="18518"/>
  <c r="M33" i="18518"/>
  <c r="L33" i="18518"/>
  <c r="K33" i="18518"/>
  <c r="J33" i="18518"/>
  <c r="Q26" i="18518"/>
  <c r="P26" i="18518"/>
  <c r="U16" i="18518"/>
  <c r="T16" i="18518"/>
  <c r="S16" i="18518"/>
  <c r="R16" i="18518"/>
  <c r="Q16" i="18518"/>
  <c r="P16" i="18518"/>
  <c r="O16" i="18518"/>
  <c r="N16" i="18518"/>
  <c r="M16" i="18518"/>
  <c r="L16" i="18518"/>
  <c r="K16" i="18518"/>
  <c r="J16" i="18518"/>
  <c r="U12" i="18518"/>
  <c r="T12" i="18518"/>
  <c r="S12" i="18518"/>
  <c r="R12" i="18518"/>
  <c r="Q12" i="18518"/>
  <c r="P12" i="18518"/>
  <c r="O12" i="18518"/>
  <c r="N12" i="18518"/>
  <c r="M12" i="18518"/>
  <c r="L12" i="18518"/>
  <c r="K12" i="18518"/>
  <c r="J12" i="18518"/>
  <c r="H45" i="18518"/>
  <c r="G45" i="18518"/>
  <c r="I43" i="18518"/>
  <c r="H43" i="18518"/>
  <c r="G43" i="18518"/>
  <c r="F43" i="18518"/>
  <c r="I42" i="18518"/>
  <c r="H42" i="18518"/>
  <c r="I40" i="18518"/>
  <c r="H40" i="18518"/>
  <c r="H41" i="18518" s="1"/>
  <c r="H74" i="18518" s="1"/>
  <c r="G40" i="18518"/>
  <c r="F40" i="18518"/>
  <c r="I33" i="18518"/>
  <c r="H33" i="18518"/>
  <c r="G33" i="18518"/>
  <c r="F33" i="18518"/>
  <c r="I16" i="18518"/>
  <c r="H16" i="18518"/>
  <c r="G16" i="18518"/>
  <c r="F16" i="18518"/>
  <c r="I12" i="18518"/>
  <c r="H12" i="18518"/>
  <c r="G12" i="18518"/>
  <c r="F12" i="18518"/>
  <c r="E41" i="18518"/>
  <c r="D41" i="18518"/>
  <c r="D74" i="18518" s="1"/>
  <c r="E33" i="18518"/>
  <c r="D33" i="18518"/>
  <c r="E16" i="18518"/>
  <c r="D16" i="18518"/>
  <c r="E12" i="18518"/>
  <c r="D12" i="18518"/>
  <c r="C42" i="18518"/>
  <c r="B41" i="18518"/>
  <c r="B74" i="18518" s="1"/>
  <c r="C40" i="18518"/>
  <c r="C33" i="18518"/>
  <c r="B33" i="18518"/>
  <c r="C16" i="18518"/>
  <c r="B16" i="18518"/>
  <c r="C12" i="18518"/>
  <c r="B12" i="18518"/>
  <c r="AS44" i="18517"/>
  <c r="CV44" i="18517" s="1"/>
  <c r="BJ42" i="18517"/>
  <c r="BI42" i="18517"/>
  <c r="BH42" i="18517"/>
  <c r="BG42" i="18517"/>
  <c r="BB42" i="18517"/>
  <c r="BA42" i="18517"/>
  <c r="AX42" i="18517"/>
  <c r="AW42" i="18517"/>
  <c r="AQ42" i="18517"/>
  <c r="BJ41" i="18517"/>
  <c r="BI41" i="18517"/>
  <c r="BH41" i="18517"/>
  <c r="BG41" i="18517"/>
  <c r="AR41" i="18517"/>
  <c r="AQ41" i="18517"/>
  <c r="BN40" i="18517"/>
  <c r="BM40" i="18517"/>
  <c r="BM73" i="18517" s="1"/>
  <c r="BH40" i="18517"/>
  <c r="BG40" i="18517"/>
  <c r="BG73" i="18517" s="1"/>
  <c r="BF40" i="18517"/>
  <c r="BE40" i="18517"/>
  <c r="BE73" i="18517" s="1"/>
  <c r="AZ40" i="18517"/>
  <c r="AY40" i="18517"/>
  <c r="AY73" i="18517" s="1"/>
  <c r="AX40" i="18517"/>
  <c r="AW40" i="18517"/>
  <c r="AW73" i="18517" s="1"/>
  <c r="AV40" i="18517"/>
  <c r="AU40" i="18517"/>
  <c r="AU73" i="18517" s="1"/>
  <c r="AT40" i="18517"/>
  <c r="AS40" i="18517"/>
  <c r="AS73" i="18517" s="1"/>
  <c r="BJ39" i="18517"/>
  <c r="BI39" i="18517"/>
  <c r="BI40" i="18517" s="1"/>
  <c r="BI73" i="18517" s="1"/>
  <c r="BD39" i="18517"/>
  <c r="BC39" i="18517"/>
  <c r="BC40" i="18517" s="1"/>
  <c r="BC73" i="18517" s="1"/>
  <c r="BB38" i="18517"/>
  <c r="BA38" i="18517"/>
  <c r="BA40" i="18517" s="1"/>
  <c r="BA73" i="18517" s="1"/>
  <c r="AR37" i="18517"/>
  <c r="CW37" i="18517" s="1"/>
  <c r="AQ37" i="18517"/>
  <c r="CV37" i="18517" s="1"/>
  <c r="BN32" i="18517"/>
  <c r="BM32" i="18517"/>
  <c r="BJ32" i="18517"/>
  <c r="BI32" i="18517"/>
  <c r="BH32" i="18517"/>
  <c r="BG32" i="18517"/>
  <c r="BF32" i="18517"/>
  <c r="BE32" i="18517"/>
  <c r="BD32" i="18517"/>
  <c r="BC32" i="18517"/>
  <c r="BA32" i="18517"/>
  <c r="AZ32" i="18517"/>
  <c r="AY32" i="18517"/>
  <c r="AX32" i="18517"/>
  <c r="AW32" i="18517"/>
  <c r="AV32" i="18517"/>
  <c r="AU32" i="18517"/>
  <c r="AT32" i="18517"/>
  <c r="AS32" i="18517"/>
  <c r="AR32" i="18517"/>
  <c r="AQ32" i="18517"/>
  <c r="BB27" i="18517"/>
  <c r="CW27" i="18517" s="1"/>
  <c r="BN16" i="18517"/>
  <c r="BM16" i="18517"/>
  <c r="BJ16" i="18517"/>
  <c r="BI16" i="18517"/>
  <c r="BH16" i="18517"/>
  <c r="BG16" i="18517"/>
  <c r="BF16" i="18517"/>
  <c r="BE16" i="18517"/>
  <c r="BD16" i="18517"/>
  <c r="BC16" i="18517"/>
  <c r="BB16" i="18517"/>
  <c r="BA16" i="18517"/>
  <c r="AZ16" i="18517"/>
  <c r="AY16" i="18517"/>
  <c r="AX16" i="18517"/>
  <c r="AW16" i="18517"/>
  <c r="AV16" i="18517"/>
  <c r="AU16" i="18517"/>
  <c r="AT16" i="18517"/>
  <c r="AS16" i="18517"/>
  <c r="AR16" i="18517"/>
  <c r="AQ16" i="18517"/>
  <c r="BN12" i="18517"/>
  <c r="BM12" i="18517"/>
  <c r="BJ12" i="18517"/>
  <c r="BI12" i="18517"/>
  <c r="BH12" i="18517"/>
  <c r="BG12" i="18517"/>
  <c r="BF12" i="18517"/>
  <c r="BE12" i="18517"/>
  <c r="BD12" i="18517"/>
  <c r="BC12" i="18517"/>
  <c r="BB12" i="18517"/>
  <c r="BA12" i="18517"/>
  <c r="AZ12" i="18517"/>
  <c r="AY12" i="18517"/>
  <c r="AX12" i="18517"/>
  <c r="AW12" i="18517"/>
  <c r="AV12" i="18517"/>
  <c r="AU12" i="18517"/>
  <c r="AR12" i="18517"/>
  <c r="AQ12" i="18517"/>
  <c r="AT11" i="18517"/>
  <c r="CW11" i="18517" s="1"/>
  <c r="AS11" i="18517"/>
  <c r="CV11" i="18517" s="1"/>
  <c r="AP42" i="18517"/>
  <c r="AP40" i="18517"/>
  <c r="AO40" i="18517"/>
  <c r="AO73" i="18517" s="1"/>
  <c r="AN40" i="18517"/>
  <c r="AM40" i="18517"/>
  <c r="AM73" i="18517" s="1"/>
  <c r="AP32" i="18517"/>
  <c r="AO32" i="18517"/>
  <c r="AN32" i="18517"/>
  <c r="AM32" i="18517"/>
  <c r="AP16" i="18517"/>
  <c r="AO16" i="18517"/>
  <c r="AN16" i="18517"/>
  <c r="AM16" i="18517"/>
  <c r="AP12" i="18517"/>
  <c r="AO12" i="18517"/>
  <c r="AN12" i="18517"/>
  <c r="AM12" i="18517"/>
  <c r="AL42" i="18517"/>
  <c r="AK42" i="18517"/>
  <c r="AJ42" i="18517"/>
  <c r="AH42" i="18517"/>
  <c r="AG42" i="18517"/>
  <c r="AL41" i="18517"/>
  <c r="AI41" i="18517"/>
  <c r="AL40" i="18517"/>
  <c r="AK40" i="18517"/>
  <c r="AK73" i="18517" s="1"/>
  <c r="AJ39" i="18517"/>
  <c r="AI39" i="18517"/>
  <c r="AH39" i="18517"/>
  <c r="AG39" i="18517"/>
  <c r="AG40" i="18517" s="1"/>
  <c r="AG73" i="18517" s="1"/>
  <c r="AF39" i="18517"/>
  <c r="AE39" i="18517"/>
  <c r="AE40" i="18517" s="1"/>
  <c r="AE73" i="18517" s="1"/>
  <c r="AJ38" i="18517"/>
  <c r="AI38" i="18517"/>
  <c r="AL32" i="18517"/>
  <c r="AK32" i="18517"/>
  <c r="AJ32" i="18517"/>
  <c r="AI32" i="18517"/>
  <c r="AH32" i="18517"/>
  <c r="AG32" i="18517"/>
  <c r="AF32" i="18517"/>
  <c r="AE32" i="18517"/>
  <c r="AL16" i="18517"/>
  <c r="AK16" i="18517"/>
  <c r="AJ16" i="18517"/>
  <c r="AI16" i="18517"/>
  <c r="AH16" i="18517"/>
  <c r="AG16" i="18517"/>
  <c r="AF16" i="18517"/>
  <c r="AE16" i="18517"/>
  <c r="AL12" i="18517"/>
  <c r="AK12" i="18517"/>
  <c r="AJ12" i="18517"/>
  <c r="AI12" i="18517"/>
  <c r="AH12" i="18517"/>
  <c r="AG12" i="18517"/>
  <c r="AF12" i="18517"/>
  <c r="AE12" i="18517"/>
  <c r="AD42" i="18517"/>
  <c r="AC42" i="18517"/>
  <c r="AD41" i="18517"/>
  <c r="AC41" i="18517"/>
  <c r="AD40" i="18517"/>
  <c r="AC40" i="18517"/>
  <c r="AC73" i="18517" s="1"/>
  <c r="AD32" i="18517"/>
  <c r="AC32" i="18517"/>
  <c r="AD16" i="18517"/>
  <c r="AC16" i="18517"/>
  <c r="AD12" i="18517"/>
  <c r="AC12" i="18517"/>
  <c r="Z42" i="18517"/>
  <c r="AB40" i="18517"/>
  <c r="AA40" i="18517"/>
  <c r="AA73" i="18517" s="1"/>
  <c r="Z40" i="18517"/>
  <c r="Y40" i="18517"/>
  <c r="Y73" i="18517" s="1"/>
  <c r="AB32" i="18517"/>
  <c r="AA32" i="18517"/>
  <c r="Z32" i="18517"/>
  <c r="Y32" i="18517"/>
  <c r="AB16" i="18517"/>
  <c r="AA16" i="18517"/>
  <c r="Z16" i="18517"/>
  <c r="Y16" i="18517"/>
  <c r="AB12" i="18517"/>
  <c r="AA12" i="18517"/>
  <c r="Z12" i="18517"/>
  <c r="Y12" i="18517"/>
  <c r="X40" i="18517"/>
  <c r="W40" i="18517"/>
  <c r="W73" i="18517" s="1"/>
  <c r="X32" i="18517"/>
  <c r="W32" i="18517"/>
  <c r="X16" i="18517"/>
  <c r="W16" i="18517"/>
  <c r="X12" i="18517"/>
  <c r="W12" i="18517"/>
  <c r="U42" i="18517"/>
  <c r="T42" i="18517"/>
  <c r="Q42" i="18517"/>
  <c r="P42" i="18517"/>
  <c r="U41" i="18517"/>
  <c r="T41" i="18517"/>
  <c r="Q41" i="18517"/>
  <c r="P41" i="18517"/>
  <c r="O41" i="18517"/>
  <c r="N41" i="18517"/>
  <c r="U40" i="18517"/>
  <c r="T40" i="18517"/>
  <c r="T73" i="18517" s="1"/>
  <c r="Q40" i="18517"/>
  <c r="P40" i="18517"/>
  <c r="P73" i="18517" s="1"/>
  <c r="O40" i="18517"/>
  <c r="N40" i="18517"/>
  <c r="N73" i="18517" s="1"/>
  <c r="S39" i="18517"/>
  <c r="R39" i="18517"/>
  <c r="R40" i="18517" s="1"/>
  <c r="R73" i="18517" s="1"/>
  <c r="U32" i="18517"/>
  <c r="T32" i="18517"/>
  <c r="S32" i="18517"/>
  <c r="R32" i="18517"/>
  <c r="Q32" i="18517"/>
  <c r="P32" i="18517"/>
  <c r="O32" i="18517"/>
  <c r="N32" i="18517"/>
  <c r="U16" i="18517"/>
  <c r="T16" i="18517"/>
  <c r="S16" i="18517"/>
  <c r="R16" i="18517"/>
  <c r="Q16" i="18517"/>
  <c r="P16" i="18517"/>
  <c r="O16" i="18517"/>
  <c r="N16" i="18517"/>
  <c r="U12" i="18517"/>
  <c r="T12" i="18517"/>
  <c r="S12" i="18517"/>
  <c r="R12" i="18517"/>
  <c r="Q12" i="18517"/>
  <c r="P12" i="18517"/>
  <c r="O12" i="18517"/>
  <c r="N12" i="18517"/>
  <c r="L49" i="18517"/>
  <c r="L45" i="18517"/>
  <c r="L74" i="18517" s="1"/>
  <c r="M42" i="18517"/>
  <c r="K42" i="18517"/>
  <c r="J42" i="18517"/>
  <c r="M41" i="18517"/>
  <c r="K41" i="18517"/>
  <c r="J41" i="18517"/>
  <c r="M40" i="18517"/>
  <c r="K39" i="18517"/>
  <c r="J39" i="18517"/>
  <c r="J40" i="18517" s="1"/>
  <c r="J73" i="18517" s="1"/>
  <c r="M32" i="18517"/>
  <c r="K32" i="18517"/>
  <c r="J32" i="18517"/>
  <c r="M16" i="18517"/>
  <c r="K16" i="18517"/>
  <c r="J16" i="18517"/>
  <c r="M12" i="18517"/>
  <c r="K12" i="18517"/>
  <c r="J12" i="18517"/>
  <c r="I39" i="18517"/>
  <c r="H39" i="18517"/>
  <c r="H40" i="18517" s="1"/>
  <c r="H73" i="18517" s="1"/>
  <c r="I32" i="18517"/>
  <c r="H32" i="18517"/>
  <c r="I16" i="18517"/>
  <c r="H16" i="18517"/>
  <c r="I12" i="18517"/>
  <c r="H12" i="18517"/>
  <c r="G40" i="18517"/>
  <c r="F40" i="18517"/>
  <c r="F73" i="18517" s="1"/>
  <c r="E40" i="18517"/>
  <c r="D40" i="18517"/>
  <c r="D73" i="18517" s="1"/>
  <c r="G32" i="18517"/>
  <c r="F32" i="18517"/>
  <c r="E24" i="18517"/>
  <c r="CW24" i="18517" s="1"/>
  <c r="D24" i="18517"/>
  <c r="CV24" i="18517" s="1"/>
  <c r="G16" i="18517"/>
  <c r="F16" i="18517"/>
  <c r="E16" i="18517"/>
  <c r="D16" i="18517"/>
  <c r="G12" i="18517"/>
  <c r="F12" i="18517"/>
  <c r="E12" i="18517"/>
  <c r="D12" i="18517"/>
  <c r="C42" i="18517"/>
  <c r="B42" i="18517"/>
  <c r="C41" i="18517"/>
  <c r="B41" i="18517"/>
  <c r="C39" i="18517"/>
  <c r="B39" i="18517"/>
  <c r="C32" i="18517"/>
  <c r="B32" i="18517"/>
  <c r="C16" i="18517"/>
  <c r="B16" i="18517"/>
  <c r="C12" i="18517"/>
  <c r="B12" i="18517"/>
  <c r="W42" i="18516"/>
  <c r="W40" i="18516"/>
  <c r="V40" i="18516"/>
  <c r="V73" i="18516" s="1"/>
  <c r="W32" i="18516"/>
  <c r="V32" i="18516"/>
  <c r="W12" i="18516"/>
  <c r="V12" i="18516"/>
  <c r="U40" i="18516"/>
  <c r="T40" i="18516"/>
  <c r="T73" i="18516" s="1"/>
  <c r="U32" i="18516"/>
  <c r="T32" i="18516"/>
  <c r="U12" i="18516"/>
  <c r="T12" i="18516"/>
  <c r="S40" i="18516"/>
  <c r="R40" i="18516"/>
  <c r="R73" i="18516" s="1"/>
  <c r="S32" i="18516"/>
  <c r="R32" i="18516"/>
  <c r="S12" i="18516"/>
  <c r="R12" i="18516"/>
  <c r="Q40" i="18516"/>
  <c r="P40" i="18516"/>
  <c r="P73" i="18516" s="1"/>
  <c r="Q32" i="18516"/>
  <c r="P32" i="18516"/>
  <c r="Q12" i="18516"/>
  <c r="P12" i="18516"/>
  <c r="O39" i="18516"/>
  <c r="N39" i="18516"/>
  <c r="O32" i="18516"/>
  <c r="N32" i="18516"/>
  <c r="O12" i="18516"/>
  <c r="N12" i="18516"/>
  <c r="M42" i="18516"/>
  <c r="L42" i="18516"/>
  <c r="M37" i="18516"/>
  <c r="L37" i="18516"/>
  <c r="L40" i="18516" s="1"/>
  <c r="L73" i="18516" s="1"/>
  <c r="M32" i="18516"/>
  <c r="L32" i="18516"/>
  <c r="M12" i="18516"/>
  <c r="L12" i="18516"/>
  <c r="K40" i="18516"/>
  <c r="J37" i="18516"/>
  <c r="K32" i="18516"/>
  <c r="J32" i="18516"/>
  <c r="K12" i="18516"/>
  <c r="J12" i="18516"/>
  <c r="H42" i="18516"/>
  <c r="I40" i="18516"/>
  <c r="H40" i="18516"/>
  <c r="H73" i="18516" s="1"/>
  <c r="I32" i="18516"/>
  <c r="H32" i="18516"/>
  <c r="I12" i="18516"/>
  <c r="H12" i="18516"/>
  <c r="G40" i="18516"/>
  <c r="F40" i="18516"/>
  <c r="F73" i="18516" s="1"/>
  <c r="F32" i="18516"/>
  <c r="G18" i="18516"/>
  <c r="G12" i="18516"/>
  <c r="F12" i="18516"/>
  <c r="E42" i="18516"/>
  <c r="D42" i="18516"/>
  <c r="D41" i="18516"/>
  <c r="E40" i="18516"/>
  <c r="D40" i="18516"/>
  <c r="D73" i="18516" s="1"/>
  <c r="E32" i="18516"/>
  <c r="D32" i="18516"/>
  <c r="E12" i="18516"/>
  <c r="D12" i="18516"/>
  <c r="C40" i="18516"/>
  <c r="B40" i="18516"/>
  <c r="B73" i="18516" s="1"/>
  <c r="C32" i="18516"/>
  <c r="B32" i="18516"/>
  <c r="B16" i="18516"/>
  <c r="C12" i="18516"/>
  <c r="B12" i="18516"/>
  <c r="AI40" i="18514"/>
  <c r="AH40" i="18514"/>
  <c r="AH73" i="18514" s="1"/>
  <c r="AI32" i="18514"/>
  <c r="AH32" i="18514"/>
  <c r="AI16" i="18514"/>
  <c r="AH16" i="18514"/>
  <c r="AI12" i="18514"/>
  <c r="AH12" i="18514"/>
  <c r="AG40" i="18514"/>
  <c r="AF40" i="18514"/>
  <c r="AF73" i="18514" s="1"/>
  <c r="AG32" i="18514"/>
  <c r="AF32" i="18514"/>
  <c r="AG16" i="18514"/>
  <c r="AF16" i="18514"/>
  <c r="AG12" i="18514"/>
  <c r="AF12" i="18514"/>
  <c r="AE42" i="18514"/>
  <c r="AD42" i="18514"/>
  <c r="AE41" i="18514"/>
  <c r="AD41" i="18514"/>
  <c r="AE39" i="18514"/>
  <c r="AD39" i="18514"/>
  <c r="AD40" i="18514" s="1"/>
  <c r="AD73" i="18514" s="1"/>
  <c r="AE32" i="18514"/>
  <c r="AD32" i="18514"/>
  <c r="AE16" i="18514"/>
  <c r="AD16" i="18514"/>
  <c r="AE12" i="18514"/>
  <c r="AD12" i="18514"/>
  <c r="AC40" i="18514"/>
  <c r="Z40" i="18514"/>
  <c r="Z73" i="18514" s="1"/>
  <c r="Y40" i="18514"/>
  <c r="X40" i="18514"/>
  <c r="X73" i="18514" s="1"/>
  <c r="AA39" i="18514"/>
  <c r="AA83" i="18514" s="1"/>
  <c r="AB37" i="18514"/>
  <c r="AC32" i="18514"/>
  <c r="AA32" i="18514"/>
  <c r="Z32" i="18514"/>
  <c r="Y32" i="18514"/>
  <c r="X32" i="18514"/>
  <c r="AB27" i="18514"/>
  <c r="AB32" i="18514" s="1"/>
  <c r="AC16" i="18514"/>
  <c r="AB16" i="18514"/>
  <c r="AA16" i="18514"/>
  <c r="Z16" i="18514"/>
  <c r="Y16" i="18514"/>
  <c r="X16" i="18514"/>
  <c r="AC12" i="18514"/>
  <c r="AB12" i="18514"/>
  <c r="AA12" i="18514"/>
  <c r="Z12" i="18514"/>
  <c r="Y12" i="18514"/>
  <c r="X12" i="18514"/>
  <c r="V44" i="18514"/>
  <c r="W42" i="18514"/>
  <c r="V42" i="18514"/>
  <c r="W40" i="18514"/>
  <c r="V40" i="18514"/>
  <c r="V73" i="18514" s="1"/>
  <c r="W32" i="18514"/>
  <c r="V32" i="18514"/>
  <c r="W16" i="18514"/>
  <c r="V16" i="18514"/>
  <c r="W12" i="18514"/>
  <c r="V12" i="18514"/>
  <c r="U42" i="18514"/>
  <c r="T42" i="18514"/>
  <c r="U41" i="18514"/>
  <c r="T41" i="18514"/>
  <c r="U39" i="18514"/>
  <c r="T39" i="18514"/>
  <c r="T40" i="18514" s="1"/>
  <c r="T73" i="18514" s="1"/>
  <c r="U16" i="18514"/>
  <c r="T16" i="18514"/>
  <c r="U12" i="18514"/>
  <c r="T12" i="18514"/>
  <c r="S42" i="18514"/>
  <c r="R42" i="18514"/>
  <c r="S40" i="18514"/>
  <c r="R40" i="18514"/>
  <c r="R73" i="18514" s="1"/>
  <c r="S18" i="18514"/>
  <c r="S32" i="18514" s="1"/>
  <c r="R18" i="18514"/>
  <c r="S16" i="18514"/>
  <c r="R16" i="18514"/>
  <c r="S12" i="18514"/>
  <c r="R12" i="18514"/>
  <c r="Q40" i="18514"/>
  <c r="P39" i="18514"/>
  <c r="Q83" i="18514" s="1"/>
  <c r="Q32" i="18514"/>
  <c r="P32" i="18514"/>
  <c r="Q16" i="18514"/>
  <c r="P16" i="18514"/>
  <c r="Q12" i="18514"/>
  <c r="P12" i="18514"/>
  <c r="O39" i="18514"/>
  <c r="N39" i="18514"/>
  <c r="N40" i="18514" s="1"/>
  <c r="N73" i="18514" s="1"/>
  <c r="M39" i="18514"/>
  <c r="L39" i="18514"/>
  <c r="L40" i="18514" s="1"/>
  <c r="L73" i="18514" s="1"/>
  <c r="O32" i="18514"/>
  <c r="N32" i="18514"/>
  <c r="L32" i="18514"/>
  <c r="M18" i="18514"/>
  <c r="O16" i="18514"/>
  <c r="N16" i="18514"/>
  <c r="M16" i="18514"/>
  <c r="L16" i="18514"/>
  <c r="O12" i="18514"/>
  <c r="N12" i="18514"/>
  <c r="M11" i="18514"/>
  <c r="L11" i="18514"/>
  <c r="M10" i="18514"/>
  <c r="L10" i="18514"/>
  <c r="K40" i="18514"/>
  <c r="J40" i="18514"/>
  <c r="J73" i="18514" s="1"/>
  <c r="K27" i="18514"/>
  <c r="J27" i="18514"/>
  <c r="K16" i="18514"/>
  <c r="J16" i="18514"/>
  <c r="K12" i="18514"/>
  <c r="J12" i="18514"/>
  <c r="I42" i="18514"/>
  <c r="H42" i="18514"/>
  <c r="I41" i="18514"/>
  <c r="H41" i="18514"/>
  <c r="I39" i="18514"/>
  <c r="H39" i="18514"/>
  <c r="I32" i="18514"/>
  <c r="H32" i="18514"/>
  <c r="I16" i="18514"/>
  <c r="H16" i="18514"/>
  <c r="I12" i="18514"/>
  <c r="H12" i="18514"/>
  <c r="G42" i="18514"/>
  <c r="G40" i="18514"/>
  <c r="F40" i="18514"/>
  <c r="F73" i="18514" s="1"/>
  <c r="G32" i="18514"/>
  <c r="F32" i="18514"/>
  <c r="G16" i="18514"/>
  <c r="F16" i="18514"/>
  <c r="G12" i="18514"/>
  <c r="F12" i="18514"/>
  <c r="E42" i="18514"/>
  <c r="D42" i="18514"/>
  <c r="E41" i="18514"/>
  <c r="D41" i="18514"/>
  <c r="E38" i="18514"/>
  <c r="D38" i="18514"/>
  <c r="E32" i="18514"/>
  <c r="D32" i="18514"/>
  <c r="E16" i="18514"/>
  <c r="D16" i="18514"/>
  <c r="E12" i="18514"/>
  <c r="D12" i="18514"/>
  <c r="C40" i="18514"/>
  <c r="B40" i="18514"/>
  <c r="B73" i="18514" s="1"/>
  <c r="B32" i="18514"/>
  <c r="C16" i="18514"/>
  <c r="B16" i="18514"/>
  <c r="C12" i="18514"/>
  <c r="B12" i="18514"/>
  <c r="B32" i="1"/>
  <c r="B40" i="1"/>
  <c r="C42" i="1"/>
  <c r="C41" i="1"/>
  <c r="F41" i="1"/>
  <c r="E41" i="1"/>
  <c r="F38" i="1"/>
  <c r="E38" i="1"/>
  <c r="T38" i="1" s="1"/>
  <c r="E18" i="1"/>
  <c r="F18" i="1"/>
  <c r="I40" i="1"/>
  <c r="H40" i="1"/>
  <c r="I32" i="1"/>
  <c r="H32" i="1"/>
  <c r="I16" i="1"/>
  <c r="H16" i="1"/>
  <c r="I12" i="1"/>
  <c r="H12" i="1"/>
  <c r="CV38" i="18517" l="1"/>
  <c r="CV41" i="18517"/>
  <c r="CV39" i="18517"/>
  <c r="B68" i="18522"/>
  <c r="CW41" i="18517"/>
  <c r="CV42" i="18517"/>
  <c r="CW42" i="18517"/>
  <c r="CW39" i="18517"/>
  <c r="CW38" i="18517"/>
  <c r="K42" i="18522"/>
  <c r="L42" i="18522"/>
  <c r="L32" i="18522"/>
  <c r="B76" i="18522"/>
  <c r="AG27" i="18524"/>
  <c r="G27" i="18524"/>
  <c r="G32" i="18524" s="1"/>
  <c r="G33" i="18524" s="1"/>
  <c r="G49" i="18524" s="1"/>
  <c r="AG39" i="18524"/>
  <c r="AF27" i="18524"/>
  <c r="AG41" i="18524"/>
  <c r="I84" i="1"/>
  <c r="I73" i="1"/>
  <c r="K7" i="18525"/>
  <c r="AG8" i="18525"/>
  <c r="AF8" i="18525"/>
  <c r="I65" i="1"/>
  <c r="I78" i="1"/>
  <c r="I66" i="1"/>
  <c r="I69" i="1"/>
  <c r="AA7" i="18525"/>
  <c r="B62" i="1"/>
  <c r="AH5" i="18525"/>
  <c r="N74" i="1"/>
  <c r="R9" i="18525"/>
  <c r="O65" i="1"/>
  <c r="AJ8" i="18525"/>
  <c r="AK8" i="18525"/>
  <c r="AB9" i="18525"/>
  <c r="AC9" i="18525"/>
  <c r="B73" i="1"/>
  <c r="J5" i="18525"/>
  <c r="O74" i="1"/>
  <c r="S9" i="18525"/>
  <c r="AL8" i="18525"/>
  <c r="AB8" i="18525"/>
  <c r="AC8" i="18525"/>
  <c r="H69" i="1"/>
  <c r="H65" i="1"/>
  <c r="H66" i="1"/>
  <c r="Z7" i="18525"/>
  <c r="O79" i="1"/>
  <c r="O63" i="1"/>
  <c r="O61" i="1"/>
  <c r="O60" i="1"/>
  <c r="AE9" i="18525"/>
  <c r="H63" i="1"/>
  <c r="H60" i="1"/>
  <c r="H61" i="1"/>
  <c r="AD7" i="18525"/>
  <c r="I60" i="1"/>
  <c r="I63" i="1"/>
  <c r="I79" i="1"/>
  <c r="I61" i="1"/>
  <c r="AE7" i="18525"/>
  <c r="U38" i="1"/>
  <c r="U82" i="1" s="1"/>
  <c r="F82" i="1"/>
  <c r="K74" i="1"/>
  <c r="R8" i="18525"/>
  <c r="L9" i="18525"/>
  <c r="M9" i="18525"/>
  <c r="AK9" i="18525"/>
  <c r="AJ9" i="18525"/>
  <c r="H71" i="1"/>
  <c r="H62" i="1"/>
  <c r="AH7" i="18525"/>
  <c r="I71" i="1"/>
  <c r="I80" i="1"/>
  <c r="I62" i="1"/>
  <c r="AI7" i="18525"/>
  <c r="H73" i="1"/>
  <c r="J7" i="18525"/>
  <c r="L73" i="1"/>
  <c r="L84" i="1"/>
  <c r="K8" i="18525"/>
  <c r="CI42" i="18523"/>
  <c r="K15" i="18522"/>
  <c r="F82" i="18522"/>
  <c r="L38" i="18522"/>
  <c r="K32" i="18522"/>
  <c r="F79" i="18522"/>
  <c r="F63" i="18522"/>
  <c r="F61" i="18522"/>
  <c r="F60" i="18522"/>
  <c r="F80" i="18522"/>
  <c r="F71" i="18522"/>
  <c r="F62" i="18522"/>
  <c r="L10" i="18522"/>
  <c r="H63" i="18522"/>
  <c r="H61" i="18522"/>
  <c r="H60" i="18522"/>
  <c r="K11" i="18522"/>
  <c r="I69" i="18522"/>
  <c r="I66" i="18522"/>
  <c r="I65" i="18522"/>
  <c r="I78" i="18522"/>
  <c r="I33" i="18522"/>
  <c r="I49" i="18522" s="1"/>
  <c r="I79" i="18522"/>
  <c r="I63" i="18522"/>
  <c r="I61" i="18522"/>
  <c r="I60" i="18522"/>
  <c r="I71" i="18522"/>
  <c r="I62" i="18522"/>
  <c r="I80" i="18522"/>
  <c r="F83" i="18522"/>
  <c r="L11" i="18522"/>
  <c r="L15" i="18522"/>
  <c r="L62" i="18522" s="1"/>
  <c r="E69" i="18522"/>
  <c r="E66" i="18522"/>
  <c r="E65" i="18522"/>
  <c r="E63" i="18522"/>
  <c r="E61" i="18522"/>
  <c r="E60" i="18522"/>
  <c r="E71" i="18522"/>
  <c r="E62" i="18522"/>
  <c r="K39" i="18522"/>
  <c r="K40" i="18522" s="1"/>
  <c r="F78" i="18522"/>
  <c r="F69" i="18522"/>
  <c r="F66" i="18522"/>
  <c r="F65" i="18522"/>
  <c r="C83" i="18522"/>
  <c r="L39" i="18522"/>
  <c r="C76" i="18522"/>
  <c r="H69" i="18522"/>
  <c r="H66" i="18522"/>
  <c r="H65" i="18522"/>
  <c r="H71" i="18522"/>
  <c r="H62" i="18522"/>
  <c r="B12" i="18522"/>
  <c r="B58" i="18522"/>
  <c r="K14" i="18522"/>
  <c r="I40" i="18522"/>
  <c r="I83" i="18522"/>
  <c r="L14" i="18522"/>
  <c r="L37" i="18522"/>
  <c r="L81" i="18522" s="1"/>
  <c r="I82" i="18523"/>
  <c r="CH42" i="18523"/>
  <c r="CI39" i="18523"/>
  <c r="CH39" i="18523"/>
  <c r="CH38" i="18523"/>
  <c r="CI38" i="18523"/>
  <c r="CH41" i="18523"/>
  <c r="CI41" i="18523"/>
  <c r="AF39" i="18524"/>
  <c r="AF40" i="18524" s="1"/>
  <c r="AF73" i="18524" s="1"/>
  <c r="AF41" i="18524"/>
  <c r="AF42" i="18524"/>
  <c r="AG42" i="18524"/>
  <c r="K81" i="18516"/>
  <c r="M32" i="18514"/>
  <c r="M62" i="18514" s="1"/>
  <c r="AA84" i="18518"/>
  <c r="N66" i="18524"/>
  <c r="N65" i="18524"/>
  <c r="N69" i="18524"/>
  <c r="K63" i="18524"/>
  <c r="K60" i="18524"/>
  <c r="K61" i="18524"/>
  <c r="K66" i="18524"/>
  <c r="K69" i="18524"/>
  <c r="K65" i="18524"/>
  <c r="O78" i="18524"/>
  <c r="O66" i="18524"/>
  <c r="O69" i="18524"/>
  <c r="O65" i="18524"/>
  <c r="L63" i="18524"/>
  <c r="L60" i="18524"/>
  <c r="L79" i="18524"/>
  <c r="L61" i="18524"/>
  <c r="F83" i="18524"/>
  <c r="AG83" i="18524"/>
  <c r="Q69" i="18524"/>
  <c r="Q65" i="18524"/>
  <c r="Q66" i="18524"/>
  <c r="N63" i="18524"/>
  <c r="N60" i="18524"/>
  <c r="N61" i="18524"/>
  <c r="R78" i="18524"/>
  <c r="R69" i="18524"/>
  <c r="R65" i="18524"/>
  <c r="R66" i="18524"/>
  <c r="O63" i="18524"/>
  <c r="O60" i="18524"/>
  <c r="O79" i="18524"/>
  <c r="O61" i="18524"/>
  <c r="C71" i="18524"/>
  <c r="C62" i="18524"/>
  <c r="R40" i="18524"/>
  <c r="R83" i="18524"/>
  <c r="E58" i="18524"/>
  <c r="Q63" i="18524"/>
  <c r="Q60" i="18524"/>
  <c r="Q61" i="18524"/>
  <c r="H71" i="18524"/>
  <c r="H62" i="18524"/>
  <c r="I79" i="18524"/>
  <c r="I63" i="18524"/>
  <c r="I60" i="18524"/>
  <c r="I61" i="18524"/>
  <c r="F58" i="18524"/>
  <c r="R63" i="18524"/>
  <c r="R60" i="18524"/>
  <c r="R79" i="18524"/>
  <c r="R61" i="18524"/>
  <c r="I71" i="18524"/>
  <c r="I62" i="18524"/>
  <c r="I80" i="18524"/>
  <c r="C73" i="18524"/>
  <c r="C84" i="18524"/>
  <c r="Q71" i="18524"/>
  <c r="Q62" i="18524"/>
  <c r="O73" i="18524"/>
  <c r="O84" i="18524"/>
  <c r="B69" i="18524"/>
  <c r="B65" i="18524"/>
  <c r="B66" i="18524"/>
  <c r="E68" i="18524"/>
  <c r="AF16" i="18524"/>
  <c r="K71" i="18524"/>
  <c r="K62" i="18524"/>
  <c r="R80" i="18524"/>
  <c r="R71" i="18524"/>
  <c r="R62" i="18524"/>
  <c r="C69" i="18524"/>
  <c r="C65" i="18524"/>
  <c r="C78" i="18524"/>
  <c r="C66" i="18524"/>
  <c r="F68" i="18524"/>
  <c r="AG16" i="18524"/>
  <c r="L71" i="18524"/>
  <c r="L62" i="18524"/>
  <c r="L80" i="18524"/>
  <c r="I84" i="18524"/>
  <c r="I73" i="18524"/>
  <c r="L66" i="18524"/>
  <c r="L78" i="18524"/>
  <c r="L69" i="18524"/>
  <c r="L65" i="18524"/>
  <c r="H69" i="18524"/>
  <c r="H65" i="18524"/>
  <c r="H66" i="18524"/>
  <c r="B63" i="18524"/>
  <c r="B60" i="18524"/>
  <c r="N71" i="18524"/>
  <c r="N62" i="18524"/>
  <c r="H61" i="18524"/>
  <c r="H60" i="18524"/>
  <c r="H63" i="18524"/>
  <c r="I66" i="18524"/>
  <c r="I69" i="18524"/>
  <c r="I78" i="18524"/>
  <c r="I65" i="18524"/>
  <c r="C61" i="18524"/>
  <c r="C79" i="18524"/>
  <c r="C63" i="18524"/>
  <c r="C60" i="18524"/>
  <c r="O80" i="18524"/>
  <c r="O62" i="18524"/>
  <c r="O71" i="18524"/>
  <c r="L84" i="18524"/>
  <c r="L73" i="18524"/>
  <c r="M83" i="18514"/>
  <c r="C63" i="18514"/>
  <c r="C79" i="18514"/>
  <c r="C60" i="18514"/>
  <c r="BW82" i="18514"/>
  <c r="E82" i="18514"/>
  <c r="G73" i="18514"/>
  <c r="G84" i="18514"/>
  <c r="L68" i="18514"/>
  <c r="BV68" i="18514"/>
  <c r="R69" i="18514"/>
  <c r="R66" i="18514"/>
  <c r="R65" i="18514"/>
  <c r="T63" i="18514"/>
  <c r="T60" i="18514"/>
  <c r="V71" i="18514"/>
  <c r="V62" i="18514"/>
  <c r="AC78" i="18514"/>
  <c r="AC69" i="18514"/>
  <c r="AC66" i="18514"/>
  <c r="AC65" i="18514"/>
  <c r="AC71" i="18514"/>
  <c r="AC62" i="18514"/>
  <c r="AC80" i="18514"/>
  <c r="AE71" i="18514"/>
  <c r="AE62" i="18514"/>
  <c r="AE80" i="18514"/>
  <c r="AG71" i="18514"/>
  <c r="AG62" i="18514"/>
  <c r="AG80" i="18514"/>
  <c r="X63" i="18514"/>
  <c r="X61" i="18514"/>
  <c r="X60" i="18514"/>
  <c r="J69" i="18514"/>
  <c r="J66" i="18514"/>
  <c r="J65" i="18514"/>
  <c r="I69" i="18514"/>
  <c r="I66" i="18514"/>
  <c r="I65" i="18514"/>
  <c r="I78" i="18514"/>
  <c r="O83" i="18514"/>
  <c r="S63" i="18514"/>
  <c r="S61" i="18514"/>
  <c r="S60" i="18514"/>
  <c r="S79" i="18514"/>
  <c r="U83" i="18514"/>
  <c r="W84" i="18514"/>
  <c r="W73" i="18514"/>
  <c r="Z61" i="18514"/>
  <c r="Z63" i="18514"/>
  <c r="Z60" i="18514"/>
  <c r="AH69" i="18514"/>
  <c r="AH66" i="18514"/>
  <c r="AH65" i="18514"/>
  <c r="AG73" i="18514"/>
  <c r="AG84" i="18514"/>
  <c r="AI69" i="18514"/>
  <c r="AI66" i="18514"/>
  <c r="AI65" i="18514"/>
  <c r="AI78" i="18514"/>
  <c r="U63" i="18514"/>
  <c r="U60" i="18514"/>
  <c r="U79" i="18514"/>
  <c r="N69" i="18514"/>
  <c r="N66" i="18514"/>
  <c r="N65" i="18514"/>
  <c r="I79" i="18514"/>
  <c r="I63" i="18514"/>
  <c r="I61" i="18514"/>
  <c r="I60" i="18514"/>
  <c r="K79" i="18514"/>
  <c r="K63" i="18514"/>
  <c r="K60" i="18514"/>
  <c r="M79" i="18514"/>
  <c r="M60" i="18514"/>
  <c r="Q78" i="18514"/>
  <c r="Q69" i="18514"/>
  <c r="Q66" i="18514"/>
  <c r="Q65" i="18514"/>
  <c r="S71" i="18514"/>
  <c r="S62" i="18514"/>
  <c r="AB63" i="18514"/>
  <c r="AB61" i="18514"/>
  <c r="AB60" i="18514"/>
  <c r="AH63" i="18514"/>
  <c r="AH61" i="18514"/>
  <c r="AH60" i="18514"/>
  <c r="W80" i="18514"/>
  <c r="W71" i="18514"/>
  <c r="W62" i="18514"/>
  <c r="H69" i="18514"/>
  <c r="H66" i="18514"/>
  <c r="H65" i="18514"/>
  <c r="Y79" i="18514"/>
  <c r="Y63" i="18514"/>
  <c r="Y61" i="18514"/>
  <c r="Y60" i="18514"/>
  <c r="C73" i="18514"/>
  <c r="C84" i="18514"/>
  <c r="AA60" i="18514"/>
  <c r="AA79" i="18514"/>
  <c r="AA61" i="18514"/>
  <c r="AA63" i="18514"/>
  <c r="F69" i="18514"/>
  <c r="F66" i="18514"/>
  <c r="F65" i="18514"/>
  <c r="E69" i="18514"/>
  <c r="E66" i="18514"/>
  <c r="E65" i="18514"/>
  <c r="E78" i="18514"/>
  <c r="G69" i="18514"/>
  <c r="G66" i="18514"/>
  <c r="G65" i="18514"/>
  <c r="G78" i="18514"/>
  <c r="H71" i="18514"/>
  <c r="H62" i="18514"/>
  <c r="N61" i="18514"/>
  <c r="N63" i="18514"/>
  <c r="N60" i="18514"/>
  <c r="P63" i="18514"/>
  <c r="P61" i="18514"/>
  <c r="P60" i="18514"/>
  <c r="AC79" i="18514"/>
  <c r="AC63" i="18514"/>
  <c r="AC61" i="18514"/>
  <c r="AC60" i="18514"/>
  <c r="AC73" i="18514"/>
  <c r="AI79" i="18514"/>
  <c r="AI63" i="18514"/>
  <c r="AI61" i="18514"/>
  <c r="AI60" i="18514"/>
  <c r="AC81" i="18514"/>
  <c r="BW81" i="18514"/>
  <c r="K69" i="18514"/>
  <c r="K66" i="18514"/>
  <c r="K65" i="18514"/>
  <c r="K78" i="18514"/>
  <c r="H63" i="18514"/>
  <c r="H61" i="18514"/>
  <c r="H60" i="18514"/>
  <c r="L61" i="18514"/>
  <c r="L60" i="18514"/>
  <c r="I71" i="18514"/>
  <c r="I62" i="18514"/>
  <c r="I80" i="18514"/>
  <c r="O79" i="18514"/>
  <c r="O60" i="18514"/>
  <c r="O61" i="18514"/>
  <c r="O63" i="18514"/>
  <c r="Q79" i="18514"/>
  <c r="Q63" i="18514"/>
  <c r="Q61" i="18514"/>
  <c r="Q60" i="18514"/>
  <c r="S84" i="18514"/>
  <c r="S73" i="18514"/>
  <c r="X69" i="18514"/>
  <c r="X66" i="18514"/>
  <c r="X65" i="18514"/>
  <c r="AB71" i="18514"/>
  <c r="AB62" i="18514"/>
  <c r="AD69" i="18514"/>
  <c r="AD66" i="18514"/>
  <c r="AD65" i="18514"/>
  <c r="AF69" i="18514"/>
  <c r="AF66" i="18514"/>
  <c r="AF65" i="18514"/>
  <c r="AH71" i="18514"/>
  <c r="AH62" i="18514"/>
  <c r="D69" i="18514"/>
  <c r="D66" i="18514"/>
  <c r="D65" i="18514"/>
  <c r="E79" i="18514"/>
  <c r="E63" i="18514"/>
  <c r="E61" i="18514"/>
  <c r="E60" i="18514"/>
  <c r="G79" i="18514"/>
  <c r="G63" i="18514"/>
  <c r="G61" i="18514"/>
  <c r="G60" i="18514"/>
  <c r="P71" i="18514"/>
  <c r="P62" i="18514"/>
  <c r="V69" i="18514"/>
  <c r="V66" i="18514"/>
  <c r="V65" i="18514"/>
  <c r="Y78" i="18514"/>
  <c r="Y69" i="18514"/>
  <c r="Y66" i="18514"/>
  <c r="Y65" i="18514"/>
  <c r="X71" i="18514"/>
  <c r="X62" i="18514"/>
  <c r="AE69" i="18514"/>
  <c r="AE66" i="18514"/>
  <c r="AE65" i="18514"/>
  <c r="AE78" i="18514"/>
  <c r="AG69" i="18514"/>
  <c r="AG66" i="18514"/>
  <c r="AG65" i="18514"/>
  <c r="AG78" i="18514"/>
  <c r="AI71" i="18514"/>
  <c r="AI62" i="18514"/>
  <c r="AI80" i="18514"/>
  <c r="BW68" i="18514"/>
  <c r="M68" i="18514"/>
  <c r="AE83" i="18514"/>
  <c r="Y84" i="18514"/>
  <c r="Y73" i="18514"/>
  <c r="D63" i="18514"/>
  <c r="D61" i="18514"/>
  <c r="D60" i="18514"/>
  <c r="B69" i="18514"/>
  <c r="B66" i="18514"/>
  <c r="B65" i="18514"/>
  <c r="D71" i="18514"/>
  <c r="D62" i="18514"/>
  <c r="F71" i="18514"/>
  <c r="F62" i="18514"/>
  <c r="I83" i="18514"/>
  <c r="K73" i="18514"/>
  <c r="K84" i="18514"/>
  <c r="L62" i="18514"/>
  <c r="Q80" i="18514"/>
  <c r="Q71" i="18514"/>
  <c r="Q62" i="18514"/>
  <c r="W78" i="18514"/>
  <c r="W69" i="18514"/>
  <c r="W66" i="18514"/>
  <c r="W65" i="18514"/>
  <c r="Z69" i="18514"/>
  <c r="Z66" i="18514"/>
  <c r="Z65" i="18514"/>
  <c r="Y80" i="18514"/>
  <c r="Y71" i="18514"/>
  <c r="Y62" i="18514"/>
  <c r="AD63" i="18514"/>
  <c r="AD61" i="18514"/>
  <c r="AD60" i="18514"/>
  <c r="AF63" i="18514"/>
  <c r="AF61" i="18514"/>
  <c r="AF60" i="18514"/>
  <c r="S78" i="18514"/>
  <c r="S69" i="18514"/>
  <c r="S66" i="18514"/>
  <c r="S65" i="18514"/>
  <c r="B71" i="18514"/>
  <c r="B62" i="18514"/>
  <c r="R63" i="18514"/>
  <c r="R60" i="18514"/>
  <c r="O69" i="18514"/>
  <c r="O78" i="18514"/>
  <c r="O65" i="18514"/>
  <c r="O66" i="18514"/>
  <c r="J63" i="18514"/>
  <c r="J60" i="18514"/>
  <c r="P69" i="18514"/>
  <c r="P66" i="18514"/>
  <c r="P65" i="18514"/>
  <c r="F63" i="18514"/>
  <c r="F61" i="18514"/>
  <c r="F60" i="18514"/>
  <c r="C78" i="18514"/>
  <c r="C66" i="18514"/>
  <c r="C69" i="18514"/>
  <c r="C65" i="18514"/>
  <c r="E80" i="18514"/>
  <c r="E71" i="18514"/>
  <c r="E62" i="18514"/>
  <c r="G71" i="18514"/>
  <c r="G62" i="18514"/>
  <c r="G80" i="18514"/>
  <c r="L58" i="18514"/>
  <c r="BV58" i="18514"/>
  <c r="N71" i="18514"/>
  <c r="N62" i="18514"/>
  <c r="T69" i="18514"/>
  <c r="T66" i="18514"/>
  <c r="T65" i="18514"/>
  <c r="V63" i="18514"/>
  <c r="V61" i="18514"/>
  <c r="V60" i="18514"/>
  <c r="AA66" i="18514"/>
  <c r="AA65" i="18514"/>
  <c r="AA69" i="18514"/>
  <c r="AA78" i="18514"/>
  <c r="Z71" i="18514"/>
  <c r="Z62" i="18514"/>
  <c r="AE79" i="18514"/>
  <c r="AE63" i="18514"/>
  <c r="AE61" i="18514"/>
  <c r="AE60" i="18514"/>
  <c r="AG79" i="18514"/>
  <c r="AG63" i="18514"/>
  <c r="AG61" i="18514"/>
  <c r="AG60" i="18514"/>
  <c r="AI73" i="18514"/>
  <c r="AI84" i="18514"/>
  <c r="B61" i="18514"/>
  <c r="B63" i="18514"/>
  <c r="B60" i="18514"/>
  <c r="M58" i="18514"/>
  <c r="BW58" i="18514"/>
  <c r="O80" i="18514"/>
  <c r="O62" i="18514"/>
  <c r="O71" i="18514"/>
  <c r="Q73" i="18514"/>
  <c r="U78" i="18514"/>
  <c r="U69" i="18514"/>
  <c r="U66" i="18514"/>
  <c r="U65" i="18514"/>
  <c r="W63" i="18514"/>
  <c r="W61" i="18514"/>
  <c r="W60" i="18514"/>
  <c r="W79" i="18514"/>
  <c r="AB69" i="18514"/>
  <c r="AB66" i="18514"/>
  <c r="AB65" i="18514"/>
  <c r="AA62" i="18514"/>
  <c r="AA71" i="18514"/>
  <c r="AA80" i="18514"/>
  <c r="AD71" i="18514"/>
  <c r="AD62" i="18514"/>
  <c r="AF71" i="18514"/>
  <c r="AF62" i="18514"/>
  <c r="AI69" i="18523"/>
  <c r="AI65" i="18523"/>
  <c r="AI66" i="18523"/>
  <c r="AF71" i="18523"/>
  <c r="AF62" i="18523"/>
  <c r="BB69" i="18523"/>
  <c r="BB78" i="18523"/>
  <c r="BB66" i="18523"/>
  <c r="BB65" i="18523"/>
  <c r="BT80" i="18523"/>
  <c r="BT71" i="18523"/>
  <c r="BT62" i="18523"/>
  <c r="N69" i="18523"/>
  <c r="N65" i="18523"/>
  <c r="N66" i="18523"/>
  <c r="AG69" i="18523"/>
  <c r="AG65" i="18523"/>
  <c r="AG78" i="18523"/>
  <c r="AG66" i="18523"/>
  <c r="AY69" i="18523"/>
  <c r="AY65" i="18523"/>
  <c r="AY78" i="18523"/>
  <c r="AY66" i="18523"/>
  <c r="BQ69" i="18523"/>
  <c r="BQ65" i="18523"/>
  <c r="BQ78" i="18523"/>
  <c r="BQ66" i="18523"/>
  <c r="O79" i="18523"/>
  <c r="O61" i="18523"/>
  <c r="O60" i="18523"/>
  <c r="O63" i="18523"/>
  <c r="AG61" i="18523"/>
  <c r="AG79" i="18523"/>
  <c r="AG60" i="18523"/>
  <c r="AG63" i="18523"/>
  <c r="AY33" i="18523"/>
  <c r="AY49" i="18523" s="1"/>
  <c r="AY79" i="18523"/>
  <c r="AY61" i="18523"/>
  <c r="AY63" i="18523"/>
  <c r="AY60" i="18523"/>
  <c r="BQ61" i="18523"/>
  <c r="BQ79" i="18523"/>
  <c r="BQ60" i="18523"/>
  <c r="BQ63" i="18523"/>
  <c r="L80" i="18523"/>
  <c r="L71" i="18523"/>
  <c r="L62" i="18523"/>
  <c r="AD71" i="18523"/>
  <c r="AD80" i="18523"/>
  <c r="AD62" i="18523"/>
  <c r="AY80" i="18523"/>
  <c r="AY71" i="18523"/>
  <c r="AY62" i="18523"/>
  <c r="BQ80" i="18523"/>
  <c r="BQ62" i="18523"/>
  <c r="BQ71" i="18523"/>
  <c r="C83" i="18523"/>
  <c r="L43" i="18523"/>
  <c r="L45" i="18523" s="1"/>
  <c r="L74" i="18523" s="1"/>
  <c r="L84" i="18523"/>
  <c r="L73" i="18523"/>
  <c r="AJ73" i="18523"/>
  <c r="AJ84" i="18523"/>
  <c r="BN73" i="18523"/>
  <c r="BN84" i="18523"/>
  <c r="AI61" i="18523"/>
  <c r="AI63" i="18523"/>
  <c r="AI60" i="18523"/>
  <c r="R79" i="18523"/>
  <c r="R63" i="18523"/>
  <c r="R60" i="18523"/>
  <c r="R61" i="18523"/>
  <c r="BB71" i="18523"/>
  <c r="BB62" i="18523"/>
  <c r="BB80" i="18523"/>
  <c r="H76" i="18523"/>
  <c r="H58" i="18523"/>
  <c r="CH58" i="18523"/>
  <c r="R78" i="18523"/>
  <c r="R66" i="18523"/>
  <c r="R65" i="18523"/>
  <c r="R69" i="18523"/>
  <c r="AL69" i="18523"/>
  <c r="AL66" i="18523"/>
  <c r="AL65" i="18523"/>
  <c r="BD69" i="18523"/>
  <c r="BD66" i="18523"/>
  <c r="BD65" i="18523"/>
  <c r="B63" i="18523"/>
  <c r="B60" i="18523"/>
  <c r="B61" i="18523"/>
  <c r="T63" i="18523"/>
  <c r="T60" i="18523"/>
  <c r="T61" i="18523"/>
  <c r="AL63" i="18523"/>
  <c r="AL60" i="18523"/>
  <c r="AL61" i="18523"/>
  <c r="BD63" i="18523"/>
  <c r="BD60" i="18523"/>
  <c r="BD61" i="18523"/>
  <c r="AU32" i="18523"/>
  <c r="AU33" i="18523" s="1"/>
  <c r="AU49" i="18523" s="1"/>
  <c r="Q71" i="18523"/>
  <c r="Q62" i="18523"/>
  <c r="AI71" i="18523"/>
  <c r="AI62" i="18523"/>
  <c r="BD71" i="18523"/>
  <c r="BD62" i="18523"/>
  <c r="I81" i="18523"/>
  <c r="CI81" i="18523"/>
  <c r="Q69" i="18523"/>
  <c r="Q65" i="18523"/>
  <c r="Q66" i="18523"/>
  <c r="O84" i="18523"/>
  <c r="O73" i="18523"/>
  <c r="W68" i="18523"/>
  <c r="CH68" i="18523"/>
  <c r="T69" i="18523"/>
  <c r="T66" i="18523"/>
  <c r="T65" i="18523"/>
  <c r="AM78" i="18523"/>
  <c r="AM66" i="18523"/>
  <c r="AM69" i="18523"/>
  <c r="AM65" i="18523"/>
  <c r="BE78" i="18523"/>
  <c r="BE65" i="18523"/>
  <c r="BE69" i="18523"/>
  <c r="BE66" i="18523"/>
  <c r="C79" i="18523"/>
  <c r="C63" i="18523"/>
  <c r="C60" i="18523"/>
  <c r="C61" i="18523"/>
  <c r="U79" i="18523"/>
  <c r="U63" i="18523"/>
  <c r="U60" i="18523"/>
  <c r="U61" i="18523"/>
  <c r="AM63" i="18523"/>
  <c r="AM60" i="18523"/>
  <c r="AM79" i="18523"/>
  <c r="AM61" i="18523"/>
  <c r="BE79" i="18523"/>
  <c r="BE63" i="18523"/>
  <c r="BE60" i="18523"/>
  <c r="BE61" i="18523"/>
  <c r="AV32" i="18523"/>
  <c r="AV33" i="18523" s="1"/>
  <c r="AV49" i="18523" s="1"/>
  <c r="R71" i="18523"/>
  <c r="R62" i="18523"/>
  <c r="R80" i="18523"/>
  <c r="AJ80" i="18523"/>
  <c r="AJ71" i="18523"/>
  <c r="AJ62" i="18523"/>
  <c r="BE71" i="18523"/>
  <c r="BE80" i="18523"/>
  <c r="BE62" i="18523"/>
  <c r="B40" i="18523"/>
  <c r="B73" i="18523" s="1"/>
  <c r="AY40" i="18523"/>
  <c r="AY43" i="18523" s="1"/>
  <c r="AY45" i="18523" s="1"/>
  <c r="AY74" i="18523" s="1"/>
  <c r="AY83" i="18523"/>
  <c r="R73" i="18523"/>
  <c r="R84" i="18523"/>
  <c r="AP73" i="18523"/>
  <c r="AP84" i="18523"/>
  <c r="BT73" i="18523"/>
  <c r="BT84" i="18523"/>
  <c r="BA69" i="18523"/>
  <c r="BA65" i="18523"/>
  <c r="BA66" i="18523"/>
  <c r="BA71" i="18523"/>
  <c r="BA62" i="18523"/>
  <c r="AJ63" i="18523"/>
  <c r="AJ60" i="18523"/>
  <c r="AJ79" i="18523"/>
  <c r="AJ61" i="18523"/>
  <c r="B69" i="18523"/>
  <c r="B66" i="18523"/>
  <c r="B65" i="18523"/>
  <c r="U78" i="18523"/>
  <c r="U69" i="18523"/>
  <c r="U66" i="18523"/>
  <c r="U65" i="18523"/>
  <c r="AO66" i="18523"/>
  <c r="AO65" i="18523"/>
  <c r="AO69" i="18523"/>
  <c r="BG66" i="18523"/>
  <c r="BG69" i="18523"/>
  <c r="BG65" i="18523"/>
  <c r="E63" i="18523"/>
  <c r="E60" i="18523"/>
  <c r="E61" i="18523"/>
  <c r="W60" i="18523"/>
  <c r="W61" i="18523"/>
  <c r="AO63" i="18523"/>
  <c r="AO60" i="18523"/>
  <c r="AO61" i="18523"/>
  <c r="BG63" i="18523"/>
  <c r="BG60" i="18523"/>
  <c r="BG61" i="18523"/>
  <c r="B71" i="18523"/>
  <c r="B62" i="18523"/>
  <c r="T71" i="18523"/>
  <c r="T62" i="18523"/>
  <c r="AL71" i="18523"/>
  <c r="AL62" i="18523"/>
  <c r="BG71" i="18523"/>
  <c r="BG62" i="18523"/>
  <c r="C82" i="18523"/>
  <c r="BA61" i="18523"/>
  <c r="BA60" i="18523"/>
  <c r="BA63" i="18523"/>
  <c r="AG80" i="18523"/>
  <c r="AG62" i="18523"/>
  <c r="AG71" i="18523"/>
  <c r="C78" i="18523"/>
  <c r="C69" i="18523"/>
  <c r="C65" i="18523"/>
  <c r="C66" i="18523"/>
  <c r="X66" i="18523"/>
  <c r="X69" i="18523"/>
  <c r="X65" i="18523"/>
  <c r="AP66" i="18523"/>
  <c r="AP78" i="18523"/>
  <c r="AP69" i="18523"/>
  <c r="AP65" i="18523"/>
  <c r="BH78" i="18523"/>
  <c r="BH66" i="18523"/>
  <c r="BH69" i="18523"/>
  <c r="BH65" i="18523"/>
  <c r="F79" i="18523"/>
  <c r="F61" i="18523"/>
  <c r="F63" i="18523"/>
  <c r="F60" i="18523"/>
  <c r="X61" i="18523"/>
  <c r="X60" i="18523"/>
  <c r="X79" i="18523"/>
  <c r="X63" i="18523"/>
  <c r="AP79" i="18523"/>
  <c r="AP61" i="18523"/>
  <c r="AP63" i="18523"/>
  <c r="AP60" i="18523"/>
  <c r="BH61" i="18523"/>
  <c r="BH60" i="18523"/>
  <c r="BH79" i="18523"/>
  <c r="BH63" i="18523"/>
  <c r="C80" i="18523"/>
  <c r="C71" i="18523"/>
  <c r="C62" i="18523"/>
  <c r="U71" i="18523"/>
  <c r="U80" i="18523"/>
  <c r="U62" i="18523"/>
  <c r="AM80" i="18523"/>
  <c r="AM71" i="18523"/>
  <c r="AM62" i="18523"/>
  <c r="BH71" i="18523"/>
  <c r="BH62" i="18523"/>
  <c r="BH80" i="18523"/>
  <c r="BB40" i="18523"/>
  <c r="BB43" i="18523" s="1"/>
  <c r="BB45" i="18523" s="1"/>
  <c r="BB74" i="18523" s="1"/>
  <c r="BB83" i="18523"/>
  <c r="AA84" i="18523"/>
  <c r="AA73" i="18523"/>
  <c r="AS84" i="18523"/>
  <c r="AS73" i="18523"/>
  <c r="BS71" i="18523"/>
  <c r="BS62" i="18523"/>
  <c r="O80" i="18523"/>
  <c r="O62" i="18523"/>
  <c r="O71" i="18523"/>
  <c r="E66" i="18523"/>
  <c r="E69" i="18523"/>
  <c r="E65" i="18523"/>
  <c r="Z66" i="18523"/>
  <c r="Z69" i="18523"/>
  <c r="Z65" i="18523"/>
  <c r="AR66" i="18523"/>
  <c r="AR69" i="18523"/>
  <c r="AR65" i="18523"/>
  <c r="BJ66" i="18523"/>
  <c r="BJ69" i="18523"/>
  <c r="BJ65" i="18523"/>
  <c r="H61" i="18523"/>
  <c r="H60" i="18523"/>
  <c r="Z61" i="18523"/>
  <c r="Z60" i="18523"/>
  <c r="Z63" i="18523"/>
  <c r="AR61" i="18523"/>
  <c r="AR63" i="18523"/>
  <c r="AR60" i="18523"/>
  <c r="BJ61" i="18523"/>
  <c r="BJ60" i="18523"/>
  <c r="BJ63" i="18523"/>
  <c r="E71" i="18523"/>
  <c r="E62" i="18523"/>
  <c r="W62" i="18523"/>
  <c r="AO71" i="18523"/>
  <c r="AO62" i="18523"/>
  <c r="BJ71" i="18523"/>
  <c r="BJ62" i="18523"/>
  <c r="F40" i="18523"/>
  <c r="F43" i="18523" s="1"/>
  <c r="F45" i="18523" s="1"/>
  <c r="F74" i="18523" s="1"/>
  <c r="F82" i="18523"/>
  <c r="N71" i="18523"/>
  <c r="N62" i="18523"/>
  <c r="BT69" i="18523"/>
  <c r="BT78" i="18523"/>
  <c r="BT66" i="18523"/>
  <c r="BT65" i="18523"/>
  <c r="BQ73" i="18523"/>
  <c r="BQ84" i="18523"/>
  <c r="F66" i="18523"/>
  <c r="F78" i="18523"/>
  <c r="F69" i="18523"/>
  <c r="F65" i="18523"/>
  <c r="AA78" i="18523"/>
  <c r="AA66" i="18523"/>
  <c r="AA69" i="18523"/>
  <c r="AA65" i="18523"/>
  <c r="AS66" i="18523"/>
  <c r="AS78" i="18523"/>
  <c r="AS69" i="18523"/>
  <c r="AS65" i="18523"/>
  <c r="BK78" i="18523"/>
  <c r="BK66" i="18523"/>
  <c r="BK69" i="18523"/>
  <c r="BK65" i="18523"/>
  <c r="I79" i="18523"/>
  <c r="I60" i="18523"/>
  <c r="I61" i="18523"/>
  <c r="I63" i="18523"/>
  <c r="AA79" i="18523"/>
  <c r="AA61" i="18523"/>
  <c r="AA60" i="18523"/>
  <c r="AA63" i="18523"/>
  <c r="AS79" i="18523"/>
  <c r="AS63" i="18523"/>
  <c r="AS60" i="18523"/>
  <c r="AS61" i="18523"/>
  <c r="BK79" i="18523"/>
  <c r="BK60" i="18523"/>
  <c r="BK61" i="18523"/>
  <c r="BK63" i="18523"/>
  <c r="F71" i="18523"/>
  <c r="F62" i="18523"/>
  <c r="F80" i="18523"/>
  <c r="X62" i="18523"/>
  <c r="X71" i="18523"/>
  <c r="X80" i="18523"/>
  <c r="AP71" i="18523"/>
  <c r="AP80" i="18523"/>
  <c r="AP62" i="18523"/>
  <c r="BK71" i="18523"/>
  <c r="BK62" i="18523"/>
  <c r="BK80" i="18523"/>
  <c r="BE40" i="18523"/>
  <c r="BE43" i="18523" s="1"/>
  <c r="BE45" i="18523" s="1"/>
  <c r="BE74" i="18523" s="1"/>
  <c r="BE83" i="18523"/>
  <c r="AD73" i="18523"/>
  <c r="AD84" i="18523"/>
  <c r="AV84" i="18523"/>
  <c r="AV73" i="18523"/>
  <c r="BS69" i="18523"/>
  <c r="BS65" i="18523"/>
  <c r="BS66" i="18523"/>
  <c r="BB79" i="18523"/>
  <c r="BB60" i="18523"/>
  <c r="BB63" i="18523"/>
  <c r="BB61" i="18523"/>
  <c r="U40" i="18523"/>
  <c r="U43" i="18523" s="1"/>
  <c r="U45" i="18523" s="1"/>
  <c r="U74" i="18523" s="1"/>
  <c r="U83" i="18523"/>
  <c r="I66" i="18523"/>
  <c r="I69" i="18523"/>
  <c r="I65" i="18523"/>
  <c r="AC66" i="18523"/>
  <c r="AC65" i="18523"/>
  <c r="AC69" i="18523"/>
  <c r="AU66" i="18523"/>
  <c r="AU69" i="18523"/>
  <c r="AU65" i="18523"/>
  <c r="BM66" i="18523"/>
  <c r="BM69" i="18523"/>
  <c r="BM65" i="18523"/>
  <c r="K63" i="18523"/>
  <c r="K60" i="18523"/>
  <c r="K61" i="18523"/>
  <c r="AC63" i="18523"/>
  <c r="AC60" i="18523"/>
  <c r="AC61" i="18523"/>
  <c r="AU63" i="18523"/>
  <c r="AU60" i="18523"/>
  <c r="BM63" i="18523"/>
  <c r="BM60" i="18523"/>
  <c r="BM61" i="18523"/>
  <c r="H62" i="18523"/>
  <c r="Z71" i="18523"/>
  <c r="Z62" i="18523"/>
  <c r="AR71" i="18523"/>
  <c r="AR62" i="18523"/>
  <c r="BM71" i="18523"/>
  <c r="BM62" i="18523"/>
  <c r="CI66" i="18523"/>
  <c r="O69" i="18523"/>
  <c r="O65" i="18523"/>
  <c r="O78" i="18523"/>
  <c r="O66" i="18523"/>
  <c r="Q61" i="18523"/>
  <c r="Q60" i="18523"/>
  <c r="Q63" i="18523"/>
  <c r="T40" i="18523"/>
  <c r="T73" i="18523" s="1"/>
  <c r="AJ69" i="18523"/>
  <c r="AJ78" i="18523"/>
  <c r="AJ66" i="18523"/>
  <c r="AJ65" i="18523"/>
  <c r="AM73" i="18523"/>
  <c r="AM84" i="18523"/>
  <c r="K66" i="18523"/>
  <c r="K69" i="18523"/>
  <c r="K65" i="18523"/>
  <c r="AD69" i="18523"/>
  <c r="AD65" i="18523"/>
  <c r="AD66" i="18523"/>
  <c r="AD78" i="18523"/>
  <c r="AV78" i="18523"/>
  <c r="AV65" i="18523"/>
  <c r="AV69" i="18523"/>
  <c r="AV66" i="18523"/>
  <c r="BN69" i="18523"/>
  <c r="BN65" i="18523"/>
  <c r="BN78" i="18523"/>
  <c r="BN66" i="18523"/>
  <c r="L79" i="18523"/>
  <c r="L61" i="18523"/>
  <c r="L63" i="18523"/>
  <c r="L60" i="18523"/>
  <c r="AD61" i="18523"/>
  <c r="AD79" i="18523"/>
  <c r="AD63" i="18523"/>
  <c r="AD60" i="18523"/>
  <c r="AV79" i="18523"/>
  <c r="AV63" i="18523"/>
  <c r="AV60" i="18523"/>
  <c r="BN61" i="18523"/>
  <c r="BN79" i="18523"/>
  <c r="BN63" i="18523"/>
  <c r="BN60" i="18523"/>
  <c r="I80" i="18523"/>
  <c r="I71" i="18523"/>
  <c r="I62" i="18523"/>
  <c r="AA71" i="18523"/>
  <c r="AA62" i="18523"/>
  <c r="AA80" i="18523"/>
  <c r="AS80" i="18523"/>
  <c r="AS71" i="18523"/>
  <c r="AS62" i="18523"/>
  <c r="BN71" i="18523"/>
  <c r="BN80" i="18523"/>
  <c r="BN62" i="18523"/>
  <c r="BH40" i="18523"/>
  <c r="BH43" i="18523" s="1"/>
  <c r="BH45" i="18523" s="1"/>
  <c r="BH74" i="18523" s="1"/>
  <c r="BH83" i="18523"/>
  <c r="AG73" i="18523"/>
  <c r="AG84" i="18523"/>
  <c r="BK84" i="18523"/>
  <c r="BK73" i="18523"/>
  <c r="BS61" i="18523"/>
  <c r="BS60" i="18523"/>
  <c r="BS63" i="18523"/>
  <c r="BT63" i="18523"/>
  <c r="BT60" i="18523"/>
  <c r="BT79" i="18523"/>
  <c r="BT61" i="18523"/>
  <c r="L65" i="18523"/>
  <c r="L78" i="18523"/>
  <c r="L69" i="18523"/>
  <c r="L66" i="18523"/>
  <c r="AF69" i="18523"/>
  <c r="AF65" i="18523"/>
  <c r="AF66" i="18523"/>
  <c r="AX69" i="18523"/>
  <c r="AX65" i="18523"/>
  <c r="AX66" i="18523"/>
  <c r="BP69" i="18523"/>
  <c r="BP65" i="18523"/>
  <c r="BP66" i="18523"/>
  <c r="N61" i="18523"/>
  <c r="N63" i="18523"/>
  <c r="N60" i="18523"/>
  <c r="AF61" i="18523"/>
  <c r="AF63" i="18523"/>
  <c r="AF60" i="18523"/>
  <c r="AX61" i="18523"/>
  <c r="AX63" i="18523"/>
  <c r="AX60" i="18523"/>
  <c r="BP61" i="18523"/>
  <c r="BP63" i="18523"/>
  <c r="BP60" i="18523"/>
  <c r="K71" i="18523"/>
  <c r="K62" i="18523"/>
  <c r="AC71" i="18523"/>
  <c r="AC62" i="18523"/>
  <c r="AX71" i="18523"/>
  <c r="AX62" i="18523"/>
  <c r="BP71" i="18523"/>
  <c r="BP62" i="18523"/>
  <c r="X40" i="18523"/>
  <c r="X43" i="18523" s="1"/>
  <c r="X45" i="18523" s="1"/>
  <c r="X74" i="18523" s="1"/>
  <c r="X82" i="18523"/>
  <c r="AH83" i="18517"/>
  <c r="I83" i="18517"/>
  <c r="I62" i="18517"/>
  <c r="I71" i="18517"/>
  <c r="I80" i="18517"/>
  <c r="X73" i="18517"/>
  <c r="X84" i="18517"/>
  <c r="AK66" i="18517"/>
  <c r="AK69" i="18517"/>
  <c r="AK65" i="18517"/>
  <c r="BM66" i="18517"/>
  <c r="BM69" i="18517"/>
  <c r="BM65" i="18517"/>
  <c r="C83" i="18517"/>
  <c r="G60" i="18517"/>
  <c r="G79" i="18517"/>
  <c r="G63" i="18517"/>
  <c r="G61" i="18517"/>
  <c r="I79" i="18517"/>
  <c r="I63" i="18517"/>
  <c r="I61" i="18517"/>
  <c r="I60" i="18517"/>
  <c r="K62" i="18517"/>
  <c r="K71" i="18517"/>
  <c r="K80" i="18517"/>
  <c r="Q60" i="18517"/>
  <c r="Q63" i="18517"/>
  <c r="Q61" i="18517"/>
  <c r="Q79" i="18517"/>
  <c r="U62" i="18517"/>
  <c r="U80" i="18517"/>
  <c r="U71" i="18517"/>
  <c r="X62" i="18517"/>
  <c r="X80" i="18517"/>
  <c r="X71" i="18517"/>
  <c r="Z62" i="18517"/>
  <c r="Z71" i="18517"/>
  <c r="Z80" i="18517"/>
  <c r="AC71" i="18517"/>
  <c r="AC62" i="18517"/>
  <c r="AI65" i="18517"/>
  <c r="AI66" i="18517"/>
  <c r="AI69" i="18517"/>
  <c r="AE71" i="18517"/>
  <c r="AE62" i="18517"/>
  <c r="AP80" i="18517"/>
  <c r="AP62" i="18517"/>
  <c r="AP71" i="18517"/>
  <c r="AW66" i="18517"/>
  <c r="AW69" i="18517"/>
  <c r="AW65" i="18517"/>
  <c r="BI66" i="18517"/>
  <c r="BI69" i="18517"/>
  <c r="BI65" i="18517"/>
  <c r="AY61" i="18517"/>
  <c r="AY60" i="18517"/>
  <c r="AY63" i="18517"/>
  <c r="BM61" i="18517"/>
  <c r="BM60" i="18517"/>
  <c r="BM63" i="18517"/>
  <c r="AZ71" i="18517"/>
  <c r="AZ80" i="18517"/>
  <c r="AZ62" i="18517"/>
  <c r="H62" i="18517"/>
  <c r="H71" i="18517"/>
  <c r="AJ78" i="18517"/>
  <c r="AJ66" i="18517"/>
  <c r="AJ69" i="18517"/>
  <c r="AJ65" i="18517"/>
  <c r="AZ61" i="18517"/>
  <c r="AZ79" i="18517"/>
  <c r="AZ60" i="18517"/>
  <c r="AZ63" i="18517"/>
  <c r="AB71" i="18517"/>
  <c r="AB80" i="18517"/>
  <c r="AB62" i="18517"/>
  <c r="F62" i="18517"/>
  <c r="F71" i="18517"/>
  <c r="K83" i="18517"/>
  <c r="P66" i="18517"/>
  <c r="P69" i="18517"/>
  <c r="P65" i="18517"/>
  <c r="T63" i="18517"/>
  <c r="T61" i="18517"/>
  <c r="T60" i="18517"/>
  <c r="Y66" i="18517"/>
  <c r="Y69" i="18517"/>
  <c r="Y65" i="18517"/>
  <c r="AD73" i="18517"/>
  <c r="AD84" i="18517"/>
  <c r="AL78" i="18517"/>
  <c r="AL66" i="18517"/>
  <c r="AL69" i="18517"/>
  <c r="AL65" i="18517"/>
  <c r="AH62" i="18517"/>
  <c r="AH71" i="18517"/>
  <c r="AH80" i="18517"/>
  <c r="AJ83" i="18517"/>
  <c r="AO66" i="18517"/>
  <c r="AO69" i="18517"/>
  <c r="AO65" i="18517"/>
  <c r="AZ66" i="18517"/>
  <c r="AZ69" i="18517"/>
  <c r="AZ65" i="18517"/>
  <c r="AZ78" i="18517"/>
  <c r="BN66" i="18517"/>
  <c r="BN69" i="18517"/>
  <c r="BN65" i="18517"/>
  <c r="BN78" i="18517"/>
  <c r="BB60" i="18517"/>
  <c r="BB79" i="18517"/>
  <c r="BB63" i="18517"/>
  <c r="AQ71" i="18517"/>
  <c r="AQ62" i="18517"/>
  <c r="BD80" i="18517"/>
  <c r="BD62" i="18517"/>
  <c r="BD71" i="18517"/>
  <c r="BB82" i="18517"/>
  <c r="AZ84" i="18517"/>
  <c r="AZ73" i="18517"/>
  <c r="BA71" i="18517"/>
  <c r="BA62" i="18517"/>
  <c r="AY66" i="18517"/>
  <c r="AY69" i="18517"/>
  <c r="AY65" i="18517"/>
  <c r="Z66" i="18517"/>
  <c r="Z69" i="18517"/>
  <c r="Z65" i="18517"/>
  <c r="Z78" i="18517"/>
  <c r="Z84" i="18517"/>
  <c r="Z73" i="18517"/>
  <c r="AE60" i="18517"/>
  <c r="AE63" i="18517"/>
  <c r="AE61" i="18517"/>
  <c r="AI62" i="18517"/>
  <c r="AI71" i="18517"/>
  <c r="AP69" i="18517"/>
  <c r="AP65" i="18517"/>
  <c r="AP78" i="18517"/>
  <c r="AP66" i="18517"/>
  <c r="AP84" i="18517"/>
  <c r="AP73" i="18517"/>
  <c r="BA66" i="18517"/>
  <c r="BA69" i="18517"/>
  <c r="BA65" i="18517"/>
  <c r="AQ60" i="18517"/>
  <c r="AQ63" i="18517"/>
  <c r="AQ61" i="18517"/>
  <c r="BC60" i="18517"/>
  <c r="BC63" i="18517"/>
  <c r="BC61" i="18517"/>
  <c r="AR80" i="18517"/>
  <c r="AR62" i="18517"/>
  <c r="AR71" i="18517"/>
  <c r="BE62" i="18517"/>
  <c r="BE71" i="18517"/>
  <c r="BJ78" i="18517"/>
  <c r="BJ66" i="18517"/>
  <c r="BJ69" i="18517"/>
  <c r="BJ65" i="18517"/>
  <c r="S83" i="18517"/>
  <c r="M84" i="18517"/>
  <c r="M73" i="18517"/>
  <c r="B66" i="18517"/>
  <c r="B69" i="18517"/>
  <c r="B65" i="18517"/>
  <c r="D66" i="18517"/>
  <c r="D69" i="18517"/>
  <c r="D65" i="18517"/>
  <c r="J65" i="18517"/>
  <c r="J66" i="18517"/>
  <c r="J69" i="18517"/>
  <c r="R69" i="18517"/>
  <c r="R65" i="18517"/>
  <c r="R66" i="18517"/>
  <c r="N71" i="18517"/>
  <c r="N62" i="18517"/>
  <c r="AA66" i="18517"/>
  <c r="AA69" i="18517"/>
  <c r="AA65" i="18517"/>
  <c r="AF60" i="18517"/>
  <c r="AF79" i="18517"/>
  <c r="AF63" i="18517"/>
  <c r="AF61" i="18517"/>
  <c r="AJ62" i="18517"/>
  <c r="AJ71" i="18517"/>
  <c r="AJ80" i="18517"/>
  <c r="AL84" i="18517"/>
  <c r="AL73" i="18517"/>
  <c r="AM61" i="18517"/>
  <c r="AM60" i="18517"/>
  <c r="AM63" i="18517"/>
  <c r="BB69" i="18517"/>
  <c r="BB65" i="18517"/>
  <c r="BB78" i="18517"/>
  <c r="BB66" i="18517"/>
  <c r="AR60" i="18517"/>
  <c r="AR63" i="18517"/>
  <c r="AR79" i="18517"/>
  <c r="AR61" i="18517"/>
  <c r="BD60" i="18517"/>
  <c r="BD79" i="18517"/>
  <c r="BD63" i="18517"/>
  <c r="BD61" i="18517"/>
  <c r="AS62" i="18517"/>
  <c r="BF62" i="18517"/>
  <c r="BF71" i="18517"/>
  <c r="BF80" i="18517"/>
  <c r="BD83" i="18517"/>
  <c r="BF73" i="18517"/>
  <c r="BF84" i="18517"/>
  <c r="R60" i="18517"/>
  <c r="R63" i="18517"/>
  <c r="R61" i="18517"/>
  <c r="AF80" i="18517"/>
  <c r="AF62" i="18517"/>
  <c r="AF71" i="18517"/>
  <c r="AM66" i="18517"/>
  <c r="AM69" i="18517"/>
  <c r="AM65" i="18517"/>
  <c r="AN84" i="18517"/>
  <c r="AN73" i="18517"/>
  <c r="Q69" i="18517"/>
  <c r="Q65" i="18517"/>
  <c r="Q78" i="18517"/>
  <c r="Q66" i="18517"/>
  <c r="C66" i="18517"/>
  <c r="C69" i="18517"/>
  <c r="C65" i="18517"/>
  <c r="C78" i="18517"/>
  <c r="E69" i="18517"/>
  <c r="E65" i="18517"/>
  <c r="E78" i="18517"/>
  <c r="E66" i="18517"/>
  <c r="E73" i="18517"/>
  <c r="E84" i="18517"/>
  <c r="K78" i="18517"/>
  <c r="K66" i="18517"/>
  <c r="K69" i="18517"/>
  <c r="K65" i="18517"/>
  <c r="S65" i="18517"/>
  <c r="S66" i="18517"/>
  <c r="S69" i="18517"/>
  <c r="S78" i="18517"/>
  <c r="O71" i="18517"/>
  <c r="O80" i="18517"/>
  <c r="O62" i="18517"/>
  <c r="Q84" i="18517"/>
  <c r="Q73" i="18517"/>
  <c r="AB66" i="18517"/>
  <c r="AB69" i="18517"/>
  <c r="AB65" i="18517"/>
  <c r="AB78" i="18517"/>
  <c r="AB84" i="18517"/>
  <c r="AB73" i="18517"/>
  <c r="AG63" i="18517"/>
  <c r="AG61" i="18517"/>
  <c r="AG60" i="18517"/>
  <c r="AK62" i="18517"/>
  <c r="AK71" i="18517"/>
  <c r="AN61" i="18517"/>
  <c r="AN60" i="18517"/>
  <c r="AN63" i="18517"/>
  <c r="AN79" i="18517"/>
  <c r="CV68" i="18517"/>
  <c r="AS68" i="18517"/>
  <c r="BC69" i="18517"/>
  <c r="BC65" i="18517"/>
  <c r="BC66" i="18517"/>
  <c r="AS61" i="18517"/>
  <c r="AS60" i="18517"/>
  <c r="BE63" i="18517"/>
  <c r="BE61" i="18517"/>
  <c r="BE60" i="18517"/>
  <c r="AT62" i="18517"/>
  <c r="AT80" i="18517"/>
  <c r="BG62" i="18517"/>
  <c r="BG71" i="18517"/>
  <c r="AX84" i="18517"/>
  <c r="AX73" i="18517"/>
  <c r="AN78" i="18517"/>
  <c r="AN66" i="18517"/>
  <c r="AN69" i="18517"/>
  <c r="AN65" i="18517"/>
  <c r="B61" i="18517"/>
  <c r="B60" i="18517"/>
  <c r="B63" i="18517"/>
  <c r="F69" i="18517"/>
  <c r="F65" i="18517"/>
  <c r="F66" i="18517"/>
  <c r="M78" i="18517"/>
  <c r="M66" i="18517"/>
  <c r="M69" i="18517"/>
  <c r="M65" i="18517"/>
  <c r="T66" i="18517"/>
  <c r="T65" i="18517"/>
  <c r="T69" i="18517"/>
  <c r="P62" i="18517"/>
  <c r="P71" i="18517"/>
  <c r="W65" i="18517"/>
  <c r="W66" i="18517"/>
  <c r="W69" i="18517"/>
  <c r="Y61" i="18517"/>
  <c r="Y60" i="18517"/>
  <c r="Y63" i="18517"/>
  <c r="AH79" i="18517"/>
  <c r="AH63" i="18517"/>
  <c r="AH61" i="18517"/>
  <c r="AH60" i="18517"/>
  <c r="AL62" i="18517"/>
  <c r="AL71" i="18517"/>
  <c r="AL80" i="18517"/>
  <c r="AO61" i="18517"/>
  <c r="AO60" i="18517"/>
  <c r="AO63" i="18517"/>
  <c r="CW68" i="18517"/>
  <c r="AT68" i="18517"/>
  <c r="BD65" i="18517"/>
  <c r="BD78" i="18517"/>
  <c r="BD69" i="18517"/>
  <c r="BD66" i="18517"/>
  <c r="AT79" i="18517"/>
  <c r="AT61" i="18517"/>
  <c r="AT60" i="18517"/>
  <c r="BF79" i="18517"/>
  <c r="BF63" i="18517"/>
  <c r="BF61" i="18517"/>
  <c r="BF60" i="18517"/>
  <c r="AU62" i="18517"/>
  <c r="AU71" i="18517"/>
  <c r="BH62" i="18517"/>
  <c r="BH71" i="18517"/>
  <c r="BH80" i="18517"/>
  <c r="BJ83" i="18517"/>
  <c r="BH73" i="18517"/>
  <c r="BH84" i="18517"/>
  <c r="BL84" i="18517"/>
  <c r="BL73" i="18517"/>
  <c r="M62" i="18517"/>
  <c r="M71" i="18517"/>
  <c r="M80" i="18517"/>
  <c r="S60" i="18517"/>
  <c r="S63" i="18517"/>
  <c r="S79" i="18517"/>
  <c r="S61" i="18517"/>
  <c r="AG62" i="18517"/>
  <c r="AG71" i="18517"/>
  <c r="BA61" i="18517"/>
  <c r="BA60" i="18517"/>
  <c r="BA63" i="18517"/>
  <c r="U63" i="18517"/>
  <c r="U79" i="18517"/>
  <c r="U61" i="18517"/>
  <c r="U60" i="18517"/>
  <c r="C61" i="18517"/>
  <c r="C79" i="18517"/>
  <c r="C60" i="18517"/>
  <c r="C63" i="18517"/>
  <c r="G65" i="18517"/>
  <c r="G66" i="18517"/>
  <c r="G78" i="18517"/>
  <c r="G69" i="18517"/>
  <c r="G73" i="18517"/>
  <c r="G84" i="18517"/>
  <c r="J63" i="18517"/>
  <c r="J61" i="18517"/>
  <c r="J60" i="18517"/>
  <c r="U78" i="18517"/>
  <c r="U69" i="18517"/>
  <c r="U66" i="18517"/>
  <c r="U65" i="18517"/>
  <c r="Q80" i="18517"/>
  <c r="Q62" i="18517"/>
  <c r="Q71" i="18517"/>
  <c r="U84" i="18517"/>
  <c r="U73" i="18517"/>
  <c r="X66" i="18517"/>
  <c r="X69" i="18517"/>
  <c r="X78" i="18517"/>
  <c r="X65" i="18517"/>
  <c r="Z61" i="18517"/>
  <c r="Z79" i="18517"/>
  <c r="Z60" i="18517"/>
  <c r="Z63" i="18517"/>
  <c r="AC66" i="18517"/>
  <c r="AC69" i="18517"/>
  <c r="AC65" i="18517"/>
  <c r="AE69" i="18517"/>
  <c r="AE65" i="18517"/>
  <c r="AE66" i="18517"/>
  <c r="AI63" i="18517"/>
  <c r="AI61" i="18517"/>
  <c r="AI60" i="18517"/>
  <c r="AP60" i="18517"/>
  <c r="AP79" i="18517"/>
  <c r="AP63" i="18517"/>
  <c r="AP61" i="18517"/>
  <c r="AQ69" i="18517"/>
  <c r="AQ65" i="18517"/>
  <c r="AQ66" i="18517"/>
  <c r="BE66" i="18517"/>
  <c r="BE65" i="18517"/>
  <c r="BE69" i="18517"/>
  <c r="AU63" i="18517"/>
  <c r="AU61" i="18517"/>
  <c r="AU60" i="18517"/>
  <c r="BG63" i="18517"/>
  <c r="BG61" i="18517"/>
  <c r="BG60" i="18517"/>
  <c r="AV62" i="18517"/>
  <c r="AV80" i="18517"/>
  <c r="AV71" i="18517"/>
  <c r="BI62" i="18517"/>
  <c r="BI71" i="18517"/>
  <c r="N66" i="18517"/>
  <c r="N69" i="18517"/>
  <c r="N65" i="18517"/>
  <c r="CW81" i="18517"/>
  <c r="AR81" i="18517"/>
  <c r="G80" i="18517"/>
  <c r="G62" i="18517"/>
  <c r="G71" i="18517"/>
  <c r="B71" i="18517"/>
  <c r="B62" i="18517"/>
  <c r="D60" i="18517"/>
  <c r="D63" i="18517"/>
  <c r="H66" i="18517"/>
  <c r="H65" i="18517"/>
  <c r="H69" i="18517"/>
  <c r="K79" i="18517"/>
  <c r="K61" i="18517"/>
  <c r="K60" i="18517"/>
  <c r="K63" i="18517"/>
  <c r="N61" i="18517"/>
  <c r="N60" i="18517"/>
  <c r="N63" i="18517"/>
  <c r="R62" i="18517"/>
  <c r="R71" i="18517"/>
  <c r="W63" i="18517"/>
  <c r="W61" i="18517"/>
  <c r="W60" i="18517"/>
  <c r="AA61" i="18517"/>
  <c r="AA60" i="18517"/>
  <c r="AA63" i="18517"/>
  <c r="AD69" i="18517"/>
  <c r="AD65" i="18517"/>
  <c r="AD78" i="18517"/>
  <c r="AD66" i="18517"/>
  <c r="AF65" i="18517"/>
  <c r="AF78" i="18517"/>
  <c r="AF66" i="18517"/>
  <c r="AF69" i="18517"/>
  <c r="AJ79" i="18517"/>
  <c r="AJ61" i="18517"/>
  <c r="AJ60" i="18517"/>
  <c r="AJ63" i="18517"/>
  <c r="AJ82" i="18517"/>
  <c r="AM71" i="18517"/>
  <c r="AM62" i="18517"/>
  <c r="AR65" i="18517"/>
  <c r="AR66" i="18517"/>
  <c r="AR69" i="18517"/>
  <c r="AR78" i="18517"/>
  <c r="BF78" i="18517"/>
  <c r="BF66" i="18517"/>
  <c r="BF69" i="18517"/>
  <c r="BF65" i="18517"/>
  <c r="AV61" i="18517"/>
  <c r="AV79" i="18517"/>
  <c r="AV60" i="18517"/>
  <c r="AV63" i="18517"/>
  <c r="BH79" i="18517"/>
  <c r="BH61" i="18517"/>
  <c r="BH60" i="18517"/>
  <c r="BH63" i="18517"/>
  <c r="AW62" i="18517"/>
  <c r="AW71" i="18517"/>
  <c r="BJ62" i="18517"/>
  <c r="BJ71" i="18517"/>
  <c r="BJ80" i="18517"/>
  <c r="AT84" i="18517"/>
  <c r="AT73" i="18517"/>
  <c r="BN84" i="18517"/>
  <c r="BN73" i="18517"/>
  <c r="AA71" i="18517"/>
  <c r="AA62" i="18517"/>
  <c r="AX66" i="18517"/>
  <c r="AX69" i="18517"/>
  <c r="AX65" i="18517"/>
  <c r="AX78" i="18517"/>
  <c r="O78" i="18517"/>
  <c r="O66" i="18517"/>
  <c r="O69" i="18517"/>
  <c r="O65" i="18517"/>
  <c r="O73" i="18517"/>
  <c r="O84" i="18517"/>
  <c r="C71" i="18517"/>
  <c r="C80" i="18517"/>
  <c r="C62" i="18517"/>
  <c r="E60" i="18517"/>
  <c r="E79" i="18517"/>
  <c r="E63" i="18517"/>
  <c r="I78" i="18517"/>
  <c r="I69" i="18517"/>
  <c r="I66" i="18517"/>
  <c r="I65" i="18517"/>
  <c r="M61" i="18517"/>
  <c r="M60" i="18517"/>
  <c r="M79" i="18517"/>
  <c r="M63" i="18517"/>
  <c r="O61" i="18517"/>
  <c r="O60" i="18517"/>
  <c r="O63" i="18517"/>
  <c r="O79" i="18517"/>
  <c r="S80" i="18517"/>
  <c r="S62" i="18517"/>
  <c r="S71" i="18517"/>
  <c r="X61" i="18517"/>
  <c r="X79" i="18517"/>
  <c r="X60" i="18517"/>
  <c r="X63" i="18517"/>
  <c r="AB61" i="18517"/>
  <c r="AB79" i="18517"/>
  <c r="AB60" i="18517"/>
  <c r="AB63" i="18517"/>
  <c r="AC61" i="18517"/>
  <c r="AC60" i="18517"/>
  <c r="AC63" i="18517"/>
  <c r="AG66" i="18517"/>
  <c r="AG65" i="18517"/>
  <c r="AG69" i="18517"/>
  <c r="AK61" i="18517"/>
  <c r="AK60" i="18517"/>
  <c r="AK63" i="18517"/>
  <c r="AN71" i="18517"/>
  <c r="AN80" i="18517"/>
  <c r="AN62" i="18517"/>
  <c r="AU66" i="18517"/>
  <c r="AU69" i="18517"/>
  <c r="AU65" i="18517"/>
  <c r="BG65" i="18517"/>
  <c r="BG66" i="18517"/>
  <c r="BG69" i="18517"/>
  <c r="AW61" i="18517"/>
  <c r="AW60" i="18517"/>
  <c r="AW63" i="18517"/>
  <c r="BI61" i="18517"/>
  <c r="BI60" i="18517"/>
  <c r="BI63" i="18517"/>
  <c r="AX62" i="18517"/>
  <c r="AX71" i="18517"/>
  <c r="AX80" i="18517"/>
  <c r="BM71" i="18517"/>
  <c r="BM62" i="18517"/>
  <c r="AD80" i="18517"/>
  <c r="AD62" i="18517"/>
  <c r="AD71" i="18517"/>
  <c r="BN61" i="18517"/>
  <c r="BN79" i="18517"/>
  <c r="BN60" i="18517"/>
  <c r="BN63" i="18517"/>
  <c r="BC62" i="18517"/>
  <c r="BC71" i="18517"/>
  <c r="F60" i="18517"/>
  <c r="F63" i="18517"/>
  <c r="F61" i="18517"/>
  <c r="H63" i="18517"/>
  <c r="H61" i="18517"/>
  <c r="H60" i="18517"/>
  <c r="J62" i="18517"/>
  <c r="J71" i="18517"/>
  <c r="P61" i="18517"/>
  <c r="P60" i="18517"/>
  <c r="P63" i="18517"/>
  <c r="T62" i="18517"/>
  <c r="T71" i="18517"/>
  <c r="W62" i="18517"/>
  <c r="W71" i="18517"/>
  <c r="Y62" i="18517"/>
  <c r="Y71" i="18517"/>
  <c r="AD60" i="18517"/>
  <c r="AD79" i="18517"/>
  <c r="AD63" i="18517"/>
  <c r="AD61" i="18517"/>
  <c r="AH69" i="18517"/>
  <c r="AH78" i="18517"/>
  <c r="AH66" i="18517"/>
  <c r="AH65" i="18517"/>
  <c r="AL61" i="18517"/>
  <c r="AL60" i="18517"/>
  <c r="AL79" i="18517"/>
  <c r="AL63" i="18517"/>
  <c r="AF83" i="18517"/>
  <c r="AO71" i="18517"/>
  <c r="AO62" i="18517"/>
  <c r="AV66" i="18517"/>
  <c r="AV69" i="18517"/>
  <c r="AV78" i="18517"/>
  <c r="AV65" i="18517"/>
  <c r="BH78" i="18517"/>
  <c r="BH66" i="18517"/>
  <c r="BH69" i="18517"/>
  <c r="BH65" i="18517"/>
  <c r="AX61" i="18517"/>
  <c r="AX79" i="18517"/>
  <c r="AX60" i="18517"/>
  <c r="AX63" i="18517"/>
  <c r="BJ63" i="18517"/>
  <c r="BJ61" i="18517"/>
  <c r="BJ60" i="18517"/>
  <c r="BJ79" i="18517"/>
  <c r="AY71" i="18517"/>
  <c r="AY62" i="18517"/>
  <c r="BN80" i="18517"/>
  <c r="BN71" i="18517"/>
  <c r="BN62" i="18517"/>
  <c r="AV73" i="18517"/>
  <c r="AV84" i="18517"/>
  <c r="CV60" i="18517"/>
  <c r="G84" i="18518"/>
  <c r="D64" i="18518"/>
  <c r="D62" i="18518"/>
  <c r="D61" i="18518"/>
  <c r="H64" i="18518"/>
  <c r="H62" i="18518"/>
  <c r="H61" i="18518"/>
  <c r="P70" i="18518"/>
  <c r="P67" i="18518"/>
  <c r="P66" i="18518"/>
  <c r="T64" i="18518"/>
  <c r="T62" i="18518"/>
  <c r="T61" i="18518"/>
  <c r="Y61" i="18518"/>
  <c r="Y62" i="18518"/>
  <c r="Y80" i="18518"/>
  <c r="Y81" i="18518"/>
  <c r="Y63" i="18518"/>
  <c r="B70" i="18518"/>
  <c r="B66" i="18518"/>
  <c r="B67" i="18518"/>
  <c r="E74" i="18518"/>
  <c r="E85" i="18518"/>
  <c r="I84" i="18518"/>
  <c r="M62" i="18518"/>
  <c r="M64" i="18518"/>
  <c r="M80" i="18518"/>
  <c r="M61" i="18518"/>
  <c r="O81" i="18518"/>
  <c r="O72" i="18518"/>
  <c r="O63" i="18518"/>
  <c r="U74" i="18518"/>
  <c r="U85" i="18518"/>
  <c r="Z64" i="18518"/>
  <c r="Z62" i="18518"/>
  <c r="Z61" i="18518"/>
  <c r="W74" i="18518"/>
  <c r="W85" i="18518"/>
  <c r="C79" i="18518"/>
  <c r="C67" i="18518"/>
  <c r="C70" i="18518"/>
  <c r="C66" i="18518"/>
  <c r="D70" i="18518"/>
  <c r="D67" i="18518"/>
  <c r="D66" i="18518"/>
  <c r="F70" i="18518"/>
  <c r="F67" i="18518"/>
  <c r="F66" i="18518"/>
  <c r="F72" i="18518"/>
  <c r="F63" i="18518"/>
  <c r="J66" i="18518"/>
  <c r="J70" i="18518"/>
  <c r="J67" i="18518"/>
  <c r="R66" i="18518"/>
  <c r="R67" i="18518"/>
  <c r="R70" i="18518"/>
  <c r="N64" i="18518"/>
  <c r="N62" i="18518"/>
  <c r="N61" i="18518"/>
  <c r="R63" i="18518"/>
  <c r="R72" i="18518"/>
  <c r="AA79" i="18518"/>
  <c r="AA67" i="18518"/>
  <c r="AA66" i="18518"/>
  <c r="AA70" i="18518"/>
  <c r="AA80" i="18518"/>
  <c r="AA61" i="18518"/>
  <c r="AA62" i="18518"/>
  <c r="AA64" i="18518"/>
  <c r="AA81" i="18518"/>
  <c r="AA72" i="18518"/>
  <c r="AA63" i="18518"/>
  <c r="L64" i="18518"/>
  <c r="L62" i="18518"/>
  <c r="L61" i="18518"/>
  <c r="N72" i="18518"/>
  <c r="N63" i="18518"/>
  <c r="X70" i="18518"/>
  <c r="X67" i="18518"/>
  <c r="X66" i="18518"/>
  <c r="I80" i="18518"/>
  <c r="I64" i="18518"/>
  <c r="I61" i="18518"/>
  <c r="I62" i="18518"/>
  <c r="Q67" i="18518"/>
  <c r="Q79" i="18518"/>
  <c r="Q66" i="18518"/>
  <c r="Q70" i="18518"/>
  <c r="U80" i="18518"/>
  <c r="U64" i="18518"/>
  <c r="U62" i="18518"/>
  <c r="U61" i="18518"/>
  <c r="M85" i="18518"/>
  <c r="M74" i="18518"/>
  <c r="Z67" i="18518"/>
  <c r="Z66" i="18518"/>
  <c r="Z70" i="18518"/>
  <c r="Z63" i="18518"/>
  <c r="Z72" i="18518"/>
  <c r="B61" i="18518"/>
  <c r="B64" i="18518"/>
  <c r="B62" i="18518"/>
  <c r="E70" i="18518"/>
  <c r="E67" i="18518"/>
  <c r="E79" i="18518"/>
  <c r="E66" i="18518"/>
  <c r="G70" i="18518"/>
  <c r="G67" i="18518"/>
  <c r="G66" i="18518"/>
  <c r="G79" i="18518"/>
  <c r="G72" i="18518"/>
  <c r="G63" i="18518"/>
  <c r="G81" i="18518"/>
  <c r="K79" i="18518"/>
  <c r="K70" i="18518"/>
  <c r="K66" i="18518"/>
  <c r="K67" i="18518"/>
  <c r="S66" i="18518"/>
  <c r="S79" i="18518"/>
  <c r="S70" i="18518"/>
  <c r="S67" i="18518"/>
  <c r="O64" i="18518"/>
  <c r="O62" i="18518"/>
  <c r="O80" i="18518"/>
  <c r="O61" i="18518"/>
  <c r="S81" i="18518"/>
  <c r="S72" i="18518"/>
  <c r="S63" i="18518"/>
  <c r="O85" i="18518"/>
  <c r="O74" i="18518"/>
  <c r="AB70" i="18518"/>
  <c r="AB67" i="18518"/>
  <c r="AB66" i="18518"/>
  <c r="AB64" i="18518"/>
  <c r="AB62" i="18518"/>
  <c r="AB61" i="18518"/>
  <c r="AB72" i="18518"/>
  <c r="AB63" i="18518"/>
  <c r="C80" i="18518"/>
  <c r="C62" i="18518"/>
  <c r="C64" i="18518"/>
  <c r="C61" i="18518"/>
  <c r="H70" i="18518"/>
  <c r="H67" i="18518"/>
  <c r="H66" i="18518"/>
  <c r="H72" i="18518"/>
  <c r="H63" i="18518"/>
  <c r="T72" i="18518"/>
  <c r="T63" i="18518"/>
  <c r="U70" i="18518"/>
  <c r="U67" i="18518"/>
  <c r="U66" i="18518"/>
  <c r="U79" i="18518"/>
  <c r="K81" i="18518"/>
  <c r="K63" i="18518"/>
  <c r="K72" i="18518"/>
  <c r="Q74" i="18518"/>
  <c r="Q85" i="18518"/>
  <c r="V64" i="18518"/>
  <c r="V62" i="18518"/>
  <c r="V61" i="18518"/>
  <c r="V72" i="18518"/>
  <c r="V63" i="18518"/>
  <c r="C72" i="18518"/>
  <c r="C81" i="18518"/>
  <c r="C63" i="18518"/>
  <c r="D72" i="18518"/>
  <c r="D63" i="18518"/>
  <c r="F64" i="18518"/>
  <c r="F62" i="18518"/>
  <c r="F61" i="18518"/>
  <c r="BJ41" i="18518"/>
  <c r="BJ74" i="18518" s="1"/>
  <c r="N70" i="18518"/>
  <c r="N67" i="18518"/>
  <c r="N66" i="18518"/>
  <c r="J64" i="18518"/>
  <c r="J61" i="18518"/>
  <c r="J62" i="18518"/>
  <c r="R62" i="18518"/>
  <c r="R64" i="18518"/>
  <c r="R61" i="18518"/>
  <c r="L72" i="18518"/>
  <c r="L63" i="18518"/>
  <c r="V70" i="18518"/>
  <c r="V67" i="18518"/>
  <c r="V66" i="18518"/>
  <c r="W80" i="18518"/>
  <c r="W64" i="18518"/>
  <c r="W62" i="18518"/>
  <c r="W61" i="18518"/>
  <c r="W72" i="18518"/>
  <c r="W63" i="18518"/>
  <c r="W81" i="18518"/>
  <c r="L70" i="18518"/>
  <c r="L67" i="18518"/>
  <c r="L66" i="18518"/>
  <c r="T70" i="18518"/>
  <c r="T67" i="18518"/>
  <c r="T66" i="18518"/>
  <c r="P64" i="18518"/>
  <c r="P61" i="18518"/>
  <c r="J72" i="18518"/>
  <c r="J63" i="18518"/>
  <c r="AC79" i="18518"/>
  <c r="AC70" i="18518"/>
  <c r="AC67" i="18518"/>
  <c r="AC66" i="18518"/>
  <c r="AC61" i="18518"/>
  <c r="AC80" i="18518"/>
  <c r="AC62" i="18518"/>
  <c r="AC64" i="18518"/>
  <c r="AC81" i="18518"/>
  <c r="AC72" i="18518"/>
  <c r="AC63" i="18518"/>
  <c r="AC85" i="18518"/>
  <c r="AC74" i="18518"/>
  <c r="B63" i="18518"/>
  <c r="B72" i="18518"/>
  <c r="E80" i="18518"/>
  <c r="E61" i="18518"/>
  <c r="E62" i="18518"/>
  <c r="E64" i="18518"/>
  <c r="I79" i="18518"/>
  <c r="I67" i="18518"/>
  <c r="I66" i="18518"/>
  <c r="I70" i="18518"/>
  <c r="I81" i="18518"/>
  <c r="I63" i="18518"/>
  <c r="I72" i="18518"/>
  <c r="M79" i="18518"/>
  <c r="M70" i="18518"/>
  <c r="M67" i="18518"/>
  <c r="M66" i="18518"/>
  <c r="Q80" i="18518"/>
  <c r="Q64" i="18518"/>
  <c r="Q61" i="18518"/>
  <c r="U72" i="18518"/>
  <c r="U81" i="18518"/>
  <c r="U63" i="18518"/>
  <c r="Y69" i="18518"/>
  <c r="BK69" i="18518"/>
  <c r="C84" i="18518"/>
  <c r="E72" i="18518"/>
  <c r="E63" i="18518"/>
  <c r="E81" i="18518"/>
  <c r="G80" i="18518"/>
  <c r="G64" i="18518"/>
  <c r="G62" i="18518"/>
  <c r="G61" i="18518"/>
  <c r="O79" i="18518"/>
  <c r="O70" i="18518"/>
  <c r="O67" i="18518"/>
  <c r="O66" i="18518"/>
  <c r="K80" i="18518"/>
  <c r="K61" i="18518"/>
  <c r="K62" i="18518"/>
  <c r="K64" i="18518"/>
  <c r="S80" i="18518"/>
  <c r="S62" i="18518"/>
  <c r="S61" i="18518"/>
  <c r="S64" i="18518"/>
  <c r="M81" i="18518"/>
  <c r="M72" i="18518"/>
  <c r="M63" i="18518"/>
  <c r="K85" i="18518"/>
  <c r="K74" i="18518"/>
  <c r="S85" i="18518"/>
  <c r="S74" i="18518"/>
  <c r="W70" i="18518"/>
  <c r="W67" i="18518"/>
  <c r="W66" i="18518"/>
  <c r="W79" i="18518"/>
  <c r="X64" i="18518"/>
  <c r="X61" i="18518"/>
  <c r="X62" i="18518"/>
  <c r="X72" i="18518"/>
  <c r="X63" i="18518"/>
  <c r="C84" i="18521"/>
  <c r="C73" i="18521"/>
  <c r="F65" i="18521"/>
  <c r="F66" i="18521"/>
  <c r="F69" i="18521"/>
  <c r="B63" i="18521"/>
  <c r="B60" i="18521"/>
  <c r="D62" i="18521"/>
  <c r="D71" i="18521"/>
  <c r="E69" i="18521"/>
  <c r="E66" i="18521"/>
  <c r="E78" i="18521"/>
  <c r="E65" i="18521"/>
  <c r="K60" i="18521"/>
  <c r="K61" i="18521"/>
  <c r="K79" i="18521"/>
  <c r="K63" i="18521"/>
  <c r="G65" i="18521"/>
  <c r="G78" i="18521"/>
  <c r="G69" i="18521"/>
  <c r="G66" i="18521"/>
  <c r="C61" i="18521"/>
  <c r="C63" i="18521"/>
  <c r="C79" i="18521"/>
  <c r="C60" i="18521"/>
  <c r="E62" i="18521"/>
  <c r="E71" i="18521"/>
  <c r="E80" i="18521"/>
  <c r="J60" i="18521"/>
  <c r="J61" i="18521"/>
  <c r="J63" i="18521"/>
  <c r="D69" i="18521"/>
  <c r="D65" i="18521"/>
  <c r="D66" i="18521"/>
  <c r="D63" i="18521"/>
  <c r="D60" i="18521"/>
  <c r="D61" i="18521"/>
  <c r="K65" i="18521"/>
  <c r="K78" i="18521"/>
  <c r="K66" i="18521"/>
  <c r="K69" i="18521"/>
  <c r="E63" i="18521"/>
  <c r="E60" i="18521"/>
  <c r="E79" i="18521"/>
  <c r="E61" i="18521"/>
  <c r="G71" i="18521"/>
  <c r="G62" i="18521"/>
  <c r="G80" i="18521"/>
  <c r="E83" i="18521"/>
  <c r="J62" i="18521"/>
  <c r="J71" i="18521"/>
  <c r="J65" i="18521"/>
  <c r="J66" i="18521"/>
  <c r="J69" i="18521"/>
  <c r="F71" i="18521"/>
  <c r="F62" i="18521"/>
  <c r="B66" i="18521"/>
  <c r="B69" i="18521"/>
  <c r="B65" i="18521"/>
  <c r="F63" i="18521"/>
  <c r="F60" i="18521"/>
  <c r="F61" i="18521"/>
  <c r="K80" i="18521"/>
  <c r="K62" i="18521"/>
  <c r="K71" i="18521"/>
  <c r="C66" i="18521"/>
  <c r="C69" i="18521"/>
  <c r="C78" i="18521"/>
  <c r="C65" i="18521"/>
  <c r="G63" i="18521"/>
  <c r="G60" i="18521"/>
  <c r="G79" i="18521"/>
  <c r="G61" i="18521"/>
  <c r="C62" i="18521"/>
  <c r="C71" i="18521"/>
  <c r="G83" i="18521"/>
  <c r="BW68" i="18516"/>
  <c r="Q66" i="18516"/>
  <c r="Q78" i="18516"/>
  <c r="Q69" i="18516"/>
  <c r="Q65" i="18516"/>
  <c r="Q63" i="18516"/>
  <c r="B62" i="18516"/>
  <c r="B71" i="18516"/>
  <c r="F71" i="18516"/>
  <c r="F62" i="18516"/>
  <c r="F61" i="18516"/>
  <c r="I84" i="18516"/>
  <c r="I73" i="18516"/>
  <c r="L66" i="18516"/>
  <c r="L65" i="18516"/>
  <c r="L69" i="18516"/>
  <c r="L63" i="18516"/>
  <c r="N66" i="18516"/>
  <c r="N65" i="18516"/>
  <c r="N69" i="18516"/>
  <c r="N63" i="18516"/>
  <c r="P71" i="18516"/>
  <c r="P62" i="18516"/>
  <c r="P61" i="18516"/>
  <c r="V66" i="18516"/>
  <c r="V65" i="18516"/>
  <c r="V69" i="18516"/>
  <c r="V63" i="18516"/>
  <c r="U84" i="18516"/>
  <c r="U73" i="18516"/>
  <c r="C80" i="18516"/>
  <c r="C71" i="18516"/>
  <c r="C62" i="18516"/>
  <c r="C61" i="18516"/>
  <c r="E84" i="18516"/>
  <c r="E73" i="18516"/>
  <c r="M69" i="18516"/>
  <c r="M66" i="18516"/>
  <c r="M78" i="18516"/>
  <c r="M65" i="18516"/>
  <c r="M63" i="18516"/>
  <c r="O78" i="18516"/>
  <c r="O66" i="18516"/>
  <c r="O69" i="18516"/>
  <c r="O65" i="18516"/>
  <c r="O63" i="18516"/>
  <c r="Q80" i="18516"/>
  <c r="Q71" i="18516"/>
  <c r="Q62" i="18516"/>
  <c r="Q61" i="18516"/>
  <c r="S84" i="18516"/>
  <c r="S73" i="18516"/>
  <c r="W69" i="18516"/>
  <c r="W65" i="18516"/>
  <c r="W78" i="18516"/>
  <c r="W66" i="18516"/>
  <c r="W63" i="18516"/>
  <c r="B63" i="18516"/>
  <c r="B61" i="18516"/>
  <c r="B60" i="18516"/>
  <c r="C79" i="18516"/>
  <c r="E80" i="18516"/>
  <c r="E71" i="18516"/>
  <c r="E62" i="18516"/>
  <c r="E61" i="18516"/>
  <c r="K73" i="18516"/>
  <c r="S80" i="18516"/>
  <c r="S62" i="18516"/>
  <c r="S71" i="18516"/>
  <c r="S61" i="18516"/>
  <c r="G73" i="18516"/>
  <c r="G84" i="18516"/>
  <c r="J69" i="18516"/>
  <c r="J65" i="18516"/>
  <c r="J66" i="18516"/>
  <c r="J63" i="18516"/>
  <c r="L62" i="18516"/>
  <c r="L71" i="18516"/>
  <c r="L61" i="18516"/>
  <c r="N71" i="18516"/>
  <c r="N62" i="18516"/>
  <c r="N61" i="18516"/>
  <c r="T66" i="18516"/>
  <c r="T65" i="18516"/>
  <c r="T69" i="18516"/>
  <c r="T63" i="18516"/>
  <c r="V71" i="18516"/>
  <c r="V62" i="18516"/>
  <c r="V61" i="18516"/>
  <c r="C84" i="18516"/>
  <c r="C73" i="18516"/>
  <c r="H65" i="18516"/>
  <c r="H69" i="18516"/>
  <c r="H66" i="18516"/>
  <c r="H63" i="18516"/>
  <c r="K65" i="18516"/>
  <c r="K69" i="18516"/>
  <c r="K66" i="18516"/>
  <c r="K78" i="18516"/>
  <c r="K63" i="18516"/>
  <c r="M80" i="18516"/>
  <c r="M71" i="18516"/>
  <c r="M62" i="18516"/>
  <c r="M61" i="18516"/>
  <c r="O80" i="18516"/>
  <c r="O71" i="18516"/>
  <c r="O62" i="18516"/>
  <c r="O61" i="18516"/>
  <c r="Q73" i="18516"/>
  <c r="Q84" i="18516"/>
  <c r="U78" i="18516"/>
  <c r="U65" i="18516"/>
  <c r="U69" i="18516"/>
  <c r="U66" i="18516"/>
  <c r="U63" i="18516"/>
  <c r="W71" i="18516"/>
  <c r="W80" i="18516"/>
  <c r="W62" i="18516"/>
  <c r="W61" i="18516"/>
  <c r="D66" i="18516"/>
  <c r="D65" i="18516"/>
  <c r="D69" i="18516"/>
  <c r="D63" i="18516"/>
  <c r="I69" i="18516"/>
  <c r="I65" i="18516"/>
  <c r="I78" i="18516"/>
  <c r="I66" i="18516"/>
  <c r="I63" i="18516"/>
  <c r="J62" i="18516"/>
  <c r="J71" i="18516"/>
  <c r="J61" i="18516"/>
  <c r="R69" i="18516"/>
  <c r="R66" i="18516"/>
  <c r="R65" i="18516"/>
  <c r="R63" i="18516"/>
  <c r="T62" i="18516"/>
  <c r="T71" i="18516"/>
  <c r="T61" i="18516"/>
  <c r="S78" i="18516"/>
  <c r="S65" i="18516"/>
  <c r="S69" i="18516"/>
  <c r="S66" i="18516"/>
  <c r="S63" i="18516"/>
  <c r="B69" i="18516"/>
  <c r="B65" i="18516"/>
  <c r="B66" i="18516"/>
  <c r="E78" i="18516"/>
  <c r="E66" i="18516"/>
  <c r="E65" i="18516"/>
  <c r="E69" i="18516"/>
  <c r="E63" i="18516"/>
  <c r="F66" i="18516"/>
  <c r="F65" i="18516"/>
  <c r="F69" i="18516"/>
  <c r="F63" i="18516"/>
  <c r="H71" i="18516"/>
  <c r="H62" i="18516"/>
  <c r="H61" i="18516"/>
  <c r="K80" i="18516"/>
  <c r="K71" i="18516"/>
  <c r="K62" i="18516"/>
  <c r="K61" i="18516"/>
  <c r="M81" i="18516"/>
  <c r="BW83" i="18516"/>
  <c r="O83" i="18516"/>
  <c r="U71" i="18516"/>
  <c r="U62" i="18516"/>
  <c r="U80" i="18516"/>
  <c r="U61" i="18516"/>
  <c r="W73" i="18516"/>
  <c r="W84" i="18516"/>
  <c r="C78" i="18516"/>
  <c r="C69" i="18516"/>
  <c r="C66" i="18516"/>
  <c r="C65" i="18516"/>
  <c r="C63" i="18516"/>
  <c r="D62" i="18516"/>
  <c r="D71" i="18516"/>
  <c r="D61" i="18516"/>
  <c r="G78" i="18516"/>
  <c r="G66" i="18516"/>
  <c r="G69" i="18516"/>
  <c r="G65" i="18516"/>
  <c r="G63" i="18516"/>
  <c r="I71" i="18516"/>
  <c r="I62" i="18516"/>
  <c r="I80" i="18516"/>
  <c r="I61" i="18516"/>
  <c r="P65" i="18516"/>
  <c r="P69" i="18516"/>
  <c r="P66" i="18516"/>
  <c r="P63" i="18516"/>
  <c r="R62" i="18516"/>
  <c r="R71" i="18516"/>
  <c r="R61" i="18516"/>
  <c r="K40" i="18521"/>
  <c r="K43" i="18521" s="1"/>
  <c r="K45" i="18521" s="1"/>
  <c r="K74" i="18521" s="1"/>
  <c r="E40" i="18521"/>
  <c r="E43" i="18521" s="1"/>
  <c r="E45" i="18521" s="1"/>
  <c r="E74" i="18521" s="1"/>
  <c r="G40" i="18521"/>
  <c r="F41" i="18518"/>
  <c r="F74" i="18518" s="1"/>
  <c r="J44" i="18518"/>
  <c r="J46" i="18518" s="1"/>
  <c r="J75" i="18518" s="1"/>
  <c r="R44" i="18518"/>
  <c r="R46" i="18518" s="1"/>
  <c r="R75" i="18518" s="1"/>
  <c r="C41" i="18518"/>
  <c r="G41" i="18518"/>
  <c r="K34" i="18518"/>
  <c r="K50" i="18518" s="1"/>
  <c r="S44" i="18518"/>
  <c r="S46" i="18518" s="1"/>
  <c r="S75" i="18518" s="1"/>
  <c r="AA41" i="18518"/>
  <c r="B44" i="18518"/>
  <c r="B46" i="18518" s="1"/>
  <c r="B75" i="18518" s="1"/>
  <c r="D44" i="18518"/>
  <c r="D46" i="18518" s="1"/>
  <c r="D75" i="18518" s="1"/>
  <c r="L44" i="18518"/>
  <c r="L46" i="18518" s="1"/>
  <c r="L75" i="18518" s="1"/>
  <c r="E44" i="18518"/>
  <c r="E46" i="18518" s="1"/>
  <c r="E75" i="18518" s="1"/>
  <c r="I41" i="18518"/>
  <c r="U34" i="18518"/>
  <c r="U50" i="18518" s="1"/>
  <c r="M44" i="18518"/>
  <c r="M46" i="18518" s="1"/>
  <c r="M75" i="18518" s="1"/>
  <c r="Y41" i="18518"/>
  <c r="P33" i="18518"/>
  <c r="P62" i="18518" s="1"/>
  <c r="N44" i="18518"/>
  <c r="N46" i="18518" s="1"/>
  <c r="N75" i="18518" s="1"/>
  <c r="X44" i="18518"/>
  <c r="X46" i="18518" s="1"/>
  <c r="X75" i="18518" s="1"/>
  <c r="V34" i="18518"/>
  <c r="V50" i="18518" s="1"/>
  <c r="Q33" i="18518"/>
  <c r="BK33" i="18518"/>
  <c r="AB44" i="18518"/>
  <c r="AB46" i="18518" s="1"/>
  <c r="AB75" i="18518" s="1"/>
  <c r="Y12" i="18518"/>
  <c r="Y64" i="18518" s="1"/>
  <c r="AC44" i="18518"/>
  <c r="AC46" i="18518" s="1"/>
  <c r="AC75" i="18518" s="1"/>
  <c r="F43" i="18517"/>
  <c r="F45" i="18517" s="1"/>
  <c r="F74" i="18517" s="1"/>
  <c r="D43" i="18517"/>
  <c r="D45" i="18517" s="1"/>
  <c r="D74" i="18517" s="1"/>
  <c r="R43" i="18517"/>
  <c r="R45" i="18517" s="1"/>
  <c r="R74" i="18517" s="1"/>
  <c r="W43" i="18517"/>
  <c r="W45" i="18517" s="1"/>
  <c r="W74" i="18517" s="1"/>
  <c r="AA43" i="18517"/>
  <c r="AA45" i="18517" s="1"/>
  <c r="AA74" i="18517" s="1"/>
  <c r="BD40" i="18517"/>
  <c r="E43" i="18517"/>
  <c r="E45" i="18517" s="1"/>
  <c r="E74" i="18517" s="1"/>
  <c r="S40" i="18517"/>
  <c r="X43" i="18517"/>
  <c r="X45" i="18517" s="1"/>
  <c r="X74" i="18517" s="1"/>
  <c r="AB43" i="18517"/>
  <c r="AB45" i="18517" s="1"/>
  <c r="AB74" i="18517" s="1"/>
  <c r="AE43" i="18517"/>
  <c r="AE45" i="18517" s="1"/>
  <c r="AS12" i="18517"/>
  <c r="AS71" i="18517" s="1"/>
  <c r="BI33" i="18517"/>
  <c r="BI49" i="18517" s="1"/>
  <c r="AY43" i="18517"/>
  <c r="AY45" i="18517" s="1"/>
  <c r="AY74" i="18517" s="1"/>
  <c r="H43" i="18517"/>
  <c r="H45" i="18517" s="1"/>
  <c r="H74" i="18517" s="1"/>
  <c r="BJ33" i="18517"/>
  <c r="BJ49" i="18517" s="1"/>
  <c r="AZ43" i="18517"/>
  <c r="AZ45" i="18517" s="1"/>
  <c r="AZ74" i="18517" s="1"/>
  <c r="I40" i="18517"/>
  <c r="BE43" i="18517"/>
  <c r="BE45" i="18517" s="1"/>
  <c r="BE74" i="18517" s="1"/>
  <c r="D32" i="18517"/>
  <c r="D61" i="18517" s="1"/>
  <c r="CV32" i="18517"/>
  <c r="CV62" i="18517" s="1"/>
  <c r="R33" i="18517"/>
  <c r="R49" i="18517" s="1"/>
  <c r="AH40" i="18517"/>
  <c r="AM33" i="18517"/>
  <c r="AM49" i="18517" s="1"/>
  <c r="AM43" i="18517"/>
  <c r="AM45" i="18517" s="1"/>
  <c r="AM74" i="18517" s="1"/>
  <c r="AR40" i="18517"/>
  <c r="AT43" i="18517"/>
  <c r="AT45" i="18517" s="1"/>
  <c r="AT74" i="18517" s="1"/>
  <c r="BF43" i="18517"/>
  <c r="BF45" i="18517" s="1"/>
  <c r="BF74" i="18517" s="1"/>
  <c r="AF40" i="18517"/>
  <c r="AT12" i="18517"/>
  <c r="BJ40" i="18517"/>
  <c r="AQ40" i="18517"/>
  <c r="AQ73" i="18517" s="1"/>
  <c r="AN43" i="18517"/>
  <c r="AN45" i="18517" s="1"/>
  <c r="AN74" i="18517" s="1"/>
  <c r="BE33" i="18517"/>
  <c r="BE49" i="18517" s="1"/>
  <c r="B40" i="18517"/>
  <c r="B73" i="18517" s="1"/>
  <c r="K40" i="18517"/>
  <c r="L51" i="18517"/>
  <c r="Y43" i="18517"/>
  <c r="Y45" i="18517" s="1"/>
  <c r="Y74" i="18517" s="1"/>
  <c r="AO43" i="18517"/>
  <c r="AO45" i="18517" s="1"/>
  <c r="AO74" i="18517" s="1"/>
  <c r="BB40" i="18517"/>
  <c r="AV43" i="18517"/>
  <c r="AV45" i="18517" s="1"/>
  <c r="AV74" i="18517" s="1"/>
  <c r="G43" i="18517"/>
  <c r="G45" i="18517" s="1"/>
  <c r="G74" i="18517" s="1"/>
  <c r="AI33" i="18517"/>
  <c r="AI49" i="18517" s="1"/>
  <c r="AS43" i="18517"/>
  <c r="AS45" i="18517" s="1"/>
  <c r="AS74" i="18517" s="1"/>
  <c r="E32" i="18517"/>
  <c r="BB32" i="18517"/>
  <c r="AU43" i="18517"/>
  <c r="AU45" i="18517" s="1"/>
  <c r="AU74" i="18517" s="1"/>
  <c r="C40" i="18517"/>
  <c r="AQ33" i="18517"/>
  <c r="AQ49" i="18517" s="1"/>
  <c r="BC43" i="18517"/>
  <c r="BC45" i="18517" s="1"/>
  <c r="BC74" i="18517" s="1"/>
  <c r="C43" i="18514"/>
  <c r="C45" i="18514" s="1"/>
  <c r="C74" i="18514" s="1"/>
  <c r="L43" i="18514"/>
  <c r="L45" i="18514" s="1"/>
  <c r="L74" i="18514" s="1"/>
  <c r="Y43" i="18514"/>
  <c r="Y45" i="18514" s="1"/>
  <c r="Y74" i="18514" s="1"/>
  <c r="M40" i="18514"/>
  <c r="Z43" i="18514"/>
  <c r="Z45" i="18514" s="1"/>
  <c r="Z74" i="18514" s="1"/>
  <c r="N43" i="18514"/>
  <c r="N45" i="18514" s="1"/>
  <c r="N74" i="18514" s="1"/>
  <c r="P40" i="18514"/>
  <c r="P73" i="18514" s="1"/>
  <c r="AC43" i="18514"/>
  <c r="AC45" i="18514" s="1"/>
  <c r="AC74" i="18514" s="1"/>
  <c r="AE40" i="18514"/>
  <c r="F43" i="18514"/>
  <c r="F45" i="18514" s="1"/>
  <c r="O40" i="18514"/>
  <c r="Q43" i="18514"/>
  <c r="Q45" i="18514" s="1"/>
  <c r="Q74" i="18514" s="1"/>
  <c r="U40" i="18514"/>
  <c r="X43" i="18514"/>
  <c r="X45" i="18514" s="1"/>
  <c r="X74" i="18514" s="1"/>
  <c r="J43" i="18514"/>
  <c r="J45" i="18514" s="1"/>
  <c r="J74" i="18514" s="1"/>
  <c r="K43" i="18514"/>
  <c r="K45" i="18514" s="1"/>
  <c r="K74" i="18514" s="1"/>
  <c r="AF43" i="18514"/>
  <c r="AF45" i="18514" s="1"/>
  <c r="AF74" i="18514" s="1"/>
  <c r="AH43" i="18514"/>
  <c r="AH45" i="18514" s="1"/>
  <c r="AH74" i="18514" s="1"/>
  <c r="B43" i="18514"/>
  <c r="B45" i="18514" s="1"/>
  <c r="B74" i="18514" s="1"/>
  <c r="AA40" i="18514"/>
  <c r="AG43" i="18514"/>
  <c r="AG45" i="18514" s="1"/>
  <c r="AG74" i="18514" s="1"/>
  <c r="AI43" i="18514"/>
  <c r="AI45" i="18514" s="1"/>
  <c r="AI74" i="18514" s="1"/>
  <c r="V43" i="18516"/>
  <c r="V45" i="18516" s="1"/>
  <c r="V74" i="18516" s="1"/>
  <c r="G43" i="18516"/>
  <c r="G45" i="18516" s="1"/>
  <c r="G74" i="18516" s="1"/>
  <c r="I43" i="18516"/>
  <c r="I45" i="18516" s="1"/>
  <c r="I74" i="18516" s="1"/>
  <c r="S43" i="18516"/>
  <c r="S45" i="18516" s="1"/>
  <c r="S74" i="18516" s="1"/>
  <c r="K43" i="18516"/>
  <c r="K45" i="18516" s="1"/>
  <c r="K74" i="18516" s="1"/>
  <c r="B43" i="18516"/>
  <c r="B45" i="18516" s="1"/>
  <c r="B74" i="18516" s="1"/>
  <c r="AC47" i="18516"/>
  <c r="R43" i="18516"/>
  <c r="R45" i="18516" s="1"/>
  <c r="R74" i="18516" s="1"/>
  <c r="U43" i="18516"/>
  <c r="U45" i="18516" s="1"/>
  <c r="U74" i="18516" s="1"/>
  <c r="C43" i="18516"/>
  <c r="C45" i="18516" s="1"/>
  <c r="C74" i="18516" s="1"/>
  <c r="Y47" i="18516"/>
  <c r="T43" i="18516"/>
  <c r="T45" i="18516" s="1"/>
  <c r="T74" i="18516" s="1"/>
  <c r="Q43" i="18516"/>
  <c r="Q45" i="18516" s="1"/>
  <c r="Q74" i="18516" s="1"/>
  <c r="P43" i="18516"/>
  <c r="P45" i="18516" s="1"/>
  <c r="P74" i="18516" s="1"/>
  <c r="F43" i="18516"/>
  <c r="F45" i="18516" s="1"/>
  <c r="F74" i="18516" s="1"/>
  <c r="BM43" i="18517"/>
  <c r="BM45" i="18517" s="1"/>
  <c r="BM74" i="18517" s="1"/>
  <c r="BN43" i="18517"/>
  <c r="BN45" i="18517" s="1"/>
  <c r="BN74" i="18517" s="1"/>
  <c r="D40" i="18514"/>
  <c r="D73" i="18514" s="1"/>
  <c r="K32" i="18514"/>
  <c r="R32" i="18514"/>
  <c r="R61" i="18514" s="1"/>
  <c r="E40" i="18514"/>
  <c r="C32" i="18514"/>
  <c r="D35" i="18514" s="1"/>
  <c r="I40" i="18514"/>
  <c r="AB40" i="18514"/>
  <c r="AB73" i="18514" s="1"/>
  <c r="J32" i="18514"/>
  <c r="H40" i="18514"/>
  <c r="H73" i="18514" s="1"/>
  <c r="L76" i="18514"/>
  <c r="M76" i="18514"/>
  <c r="AE33" i="18514"/>
  <c r="AE49" i="18514" s="1"/>
  <c r="BW16" i="18514"/>
  <c r="N76" i="18519"/>
  <c r="N32" i="18519"/>
  <c r="O32" i="18519"/>
  <c r="O16" i="18519"/>
  <c r="X34" i="18518"/>
  <c r="X50" i="18518" s="1"/>
  <c r="E12" i="18524"/>
  <c r="F76" i="18524"/>
  <c r="E40" i="18524"/>
  <c r="E73" i="18524" s="1"/>
  <c r="F40" i="18524"/>
  <c r="F43" i="18524" s="1"/>
  <c r="F45" i="18524" s="1"/>
  <c r="F74" i="18524" s="1"/>
  <c r="B32" i="18524"/>
  <c r="C80" i="18524" s="1"/>
  <c r="K33" i="18524"/>
  <c r="K49" i="18524" s="1"/>
  <c r="AF76" i="18524"/>
  <c r="AF32" i="18524"/>
  <c r="AG32" i="18524"/>
  <c r="E76" i="18524"/>
  <c r="CI16" i="18523"/>
  <c r="CI69" i="18523" s="1"/>
  <c r="AA33" i="18523"/>
  <c r="AA49" i="18523" s="1"/>
  <c r="CI32" i="18523"/>
  <c r="H12" i="18523"/>
  <c r="H63" i="18523" s="1"/>
  <c r="CH32" i="18523"/>
  <c r="CI76" i="18523"/>
  <c r="CH16" i="18523"/>
  <c r="C33" i="18523"/>
  <c r="C49" i="18523" s="1"/>
  <c r="AM33" i="18523"/>
  <c r="AM49" i="18523" s="1"/>
  <c r="C40" i="18523"/>
  <c r="C43" i="18523" s="1"/>
  <c r="C45" i="18523" s="1"/>
  <c r="C74" i="18523" s="1"/>
  <c r="W34" i="18518"/>
  <c r="W50" i="18518" s="1"/>
  <c r="BJ77" i="18518"/>
  <c r="Y34" i="18518"/>
  <c r="Z34" i="18518"/>
  <c r="Z50" i="18518" s="1"/>
  <c r="AA34" i="18518"/>
  <c r="AA50" i="18518" s="1"/>
  <c r="AB34" i="18518"/>
  <c r="AB50" i="18518" s="1"/>
  <c r="AC34" i="18518"/>
  <c r="AC50" i="18518" s="1"/>
  <c r="W44" i="18518"/>
  <c r="W46" i="18518" s="1"/>
  <c r="W75" i="18518" s="1"/>
  <c r="BJ33" i="18518"/>
  <c r="B32" i="18521"/>
  <c r="C80" i="18521" s="1"/>
  <c r="L43" i="1"/>
  <c r="L45" i="1" s="1"/>
  <c r="K47" i="1"/>
  <c r="K51" i="1"/>
  <c r="O33" i="1"/>
  <c r="O49" i="1" s="1"/>
  <c r="O47" i="1"/>
  <c r="O51" i="1"/>
  <c r="N47" i="1"/>
  <c r="N51" i="1"/>
  <c r="B43" i="1"/>
  <c r="B45" i="1" s="1"/>
  <c r="H43" i="1"/>
  <c r="H45" i="1" s="1"/>
  <c r="I43" i="1"/>
  <c r="I45" i="1" s="1"/>
  <c r="AC51" i="18516"/>
  <c r="AB47" i="18516"/>
  <c r="AB51" i="18516"/>
  <c r="AA47" i="18516"/>
  <c r="AA51" i="18516"/>
  <c r="Z47" i="18516"/>
  <c r="Z51" i="18516"/>
  <c r="J40" i="18516"/>
  <c r="J73" i="18516" s="1"/>
  <c r="G32" i="18516"/>
  <c r="N40" i="18516"/>
  <c r="N73" i="18516" s="1"/>
  <c r="O40" i="18516"/>
  <c r="M40" i="18516"/>
  <c r="Y51" i="18516"/>
  <c r="X47" i="18516"/>
  <c r="X51" i="18516"/>
  <c r="N33" i="18516"/>
  <c r="N49" i="18516" s="1"/>
  <c r="BW32" i="18516"/>
  <c r="BW62" i="18516" s="1"/>
  <c r="BL43" i="18517"/>
  <c r="BL45" i="18517" s="1"/>
  <c r="BL74" i="18517" s="1"/>
  <c r="AG33" i="18517"/>
  <c r="AG49" i="18517" s="1"/>
  <c r="AS33" i="18517"/>
  <c r="AH33" i="18517"/>
  <c r="AH49" i="18517" s="1"/>
  <c r="AW43" i="18517"/>
  <c r="AW45" i="18517" s="1"/>
  <c r="AW74" i="18517" s="1"/>
  <c r="U33" i="18517"/>
  <c r="U49" i="18517" s="1"/>
  <c r="AE33" i="18517"/>
  <c r="AE49" i="18517" s="1"/>
  <c r="AF33" i="18517"/>
  <c r="AF49" i="18517" s="1"/>
  <c r="BI43" i="18517"/>
  <c r="BI45" i="18517" s="1"/>
  <c r="BI74" i="18517" s="1"/>
  <c r="CV76" i="18517"/>
  <c r="N33" i="18517"/>
  <c r="N49" i="18517" s="1"/>
  <c r="AJ33" i="18517"/>
  <c r="AJ49" i="18517" s="1"/>
  <c r="CW76" i="18517"/>
  <c r="Q33" i="18517"/>
  <c r="Q49" i="18517" s="1"/>
  <c r="AY33" i="18517"/>
  <c r="AY49" i="18517" s="1"/>
  <c r="S33" i="18517"/>
  <c r="S49" i="18517" s="1"/>
  <c r="BA33" i="18517"/>
  <c r="BA49" i="18517" s="1"/>
  <c r="D5" i="18525"/>
  <c r="E6" i="18525"/>
  <c r="E7" i="18525"/>
  <c r="E5" i="18525"/>
  <c r="D7" i="18525"/>
  <c r="D6" i="18525"/>
  <c r="D45" i="18520"/>
  <c r="E45" i="18520"/>
  <c r="E76" i="18520"/>
  <c r="D76" i="18520"/>
  <c r="D47" i="18520"/>
  <c r="E33" i="18520"/>
  <c r="E49" i="18520" s="1"/>
  <c r="D33" i="18520"/>
  <c r="D49" i="18520" s="1"/>
  <c r="O76" i="18519"/>
  <c r="N43" i="18519"/>
  <c r="N45" i="18519" s="1"/>
  <c r="N16" i="18519"/>
  <c r="N12" i="18519"/>
  <c r="O12" i="18519"/>
  <c r="BJ16" i="18518"/>
  <c r="BK77" i="18518"/>
  <c r="BK16" i="18518"/>
  <c r="BJ12" i="18518"/>
  <c r="CW16" i="18517"/>
  <c r="BV32" i="18516"/>
  <c r="BW76" i="18516"/>
  <c r="BV12" i="18516"/>
  <c r="BW12" i="18516"/>
  <c r="BV16" i="18514"/>
  <c r="CH12" i="18523"/>
  <c r="K12" i="18522"/>
  <c r="I33" i="18524"/>
  <c r="I49" i="18524" s="1"/>
  <c r="F16" i="18524"/>
  <c r="F60" i="18524" s="1"/>
  <c r="N33" i="18524"/>
  <c r="N49" i="18524" s="1"/>
  <c r="O33" i="18524"/>
  <c r="O49" i="18524" s="1"/>
  <c r="E32" i="18524"/>
  <c r="E62" i="18524" s="1"/>
  <c r="L33" i="18524"/>
  <c r="L49" i="18524" s="1"/>
  <c r="F32" i="18524"/>
  <c r="K43" i="18524"/>
  <c r="K45" i="18524" s="1"/>
  <c r="K74" i="18524" s="1"/>
  <c r="H33" i="18524"/>
  <c r="H49" i="18524" s="1"/>
  <c r="B43" i="18524"/>
  <c r="B45" i="18524" s="1"/>
  <c r="B74" i="18524" s="1"/>
  <c r="F12" i="18524"/>
  <c r="R43" i="18524"/>
  <c r="R45" i="18524" s="1"/>
  <c r="R74" i="18524" s="1"/>
  <c r="N43" i="18524"/>
  <c r="N45" i="18524" s="1"/>
  <c r="N74" i="18524" s="1"/>
  <c r="C33" i="18524"/>
  <c r="C49" i="18524" s="1"/>
  <c r="Q33" i="18524"/>
  <c r="Q49" i="18524" s="1"/>
  <c r="E16" i="18524"/>
  <c r="R33" i="18524"/>
  <c r="R49" i="18524" s="1"/>
  <c r="Q43" i="18524"/>
  <c r="Q45" i="18524" s="1"/>
  <c r="Q74" i="18524" s="1"/>
  <c r="H43" i="18524"/>
  <c r="H45" i="18524" s="1"/>
  <c r="H74" i="18524" s="1"/>
  <c r="I43" i="18524"/>
  <c r="I45" i="18524" s="1"/>
  <c r="I74" i="18524" s="1"/>
  <c r="L43" i="18524"/>
  <c r="L45" i="18524" s="1"/>
  <c r="L74" i="18524" s="1"/>
  <c r="C43" i="18524"/>
  <c r="C45" i="18524" s="1"/>
  <c r="C74" i="18524" s="1"/>
  <c r="O43" i="18524"/>
  <c r="O45" i="18524" s="1"/>
  <c r="O74" i="18524" s="1"/>
  <c r="AR43" i="18523"/>
  <c r="AR45" i="18523" s="1"/>
  <c r="AR74" i="18523" s="1"/>
  <c r="AG43" i="18523"/>
  <c r="AG45" i="18523" s="1"/>
  <c r="AG74" i="18523" s="1"/>
  <c r="I40" i="18523"/>
  <c r="BQ43" i="18523"/>
  <c r="BQ45" i="18523" s="1"/>
  <c r="BQ74" i="18523" s="1"/>
  <c r="BS43" i="18523"/>
  <c r="BS45" i="18523" s="1"/>
  <c r="BS74" i="18523" s="1"/>
  <c r="AF43" i="18523"/>
  <c r="AF45" i="18523" s="1"/>
  <c r="AF74" i="18523" s="1"/>
  <c r="H43" i="18523"/>
  <c r="H45" i="18523" s="1"/>
  <c r="H74" i="18523" s="1"/>
  <c r="AC43" i="18523"/>
  <c r="AC45" i="18523" s="1"/>
  <c r="AC74" i="18523" s="1"/>
  <c r="AO43" i="18523"/>
  <c r="AO45" i="18523" s="1"/>
  <c r="AO74" i="18523" s="1"/>
  <c r="BK33" i="18523"/>
  <c r="BK49" i="18523" s="1"/>
  <c r="W43" i="18523"/>
  <c r="W45" i="18523" s="1"/>
  <c r="W74" i="18523" s="1"/>
  <c r="Q43" i="18523"/>
  <c r="Q45" i="18523" s="1"/>
  <c r="Q74" i="18523" s="1"/>
  <c r="BD43" i="18523"/>
  <c r="BD45" i="18523" s="1"/>
  <c r="BD74" i="18523" s="1"/>
  <c r="BM43" i="18523"/>
  <c r="BM45" i="18523" s="1"/>
  <c r="BM74" i="18523" s="1"/>
  <c r="O33" i="18523"/>
  <c r="O49" i="18523" s="1"/>
  <c r="E43" i="18523"/>
  <c r="E45" i="18523" s="1"/>
  <c r="E74" i="18523" s="1"/>
  <c r="BA43" i="18523"/>
  <c r="BA45" i="18523" s="1"/>
  <c r="BA74" i="18523" s="1"/>
  <c r="W12" i="18523"/>
  <c r="X78" i="18523" s="1"/>
  <c r="E33" i="18523"/>
  <c r="E49" i="18523" s="1"/>
  <c r="Q33" i="18523"/>
  <c r="Q49" i="18523" s="1"/>
  <c r="AC33" i="18523"/>
  <c r="AC49" i="18523" s="1"/>
  <c r="AO33" i="18523"/>
  <c r="AO49" i="18523" s="1"/>
  <c r="BA33" i="18523"/>
  <c r="BA49" i="18523" s="1"/>
  <c r="BM33" i="18523"/>
  <c r="BM49" i="18523" s="1"/>
  <c r="R43" i="18523"/>
  <c r="R45" i="18523" s="1"/>
  <c r="R74" i="18523" s="1"/>
  <c r="AD43" i="18523"/>
  <c r="AD45" i="18523" s="1"/>
  <c r="AD74" i="18523" s="1"/>
  <c r="AP43" i="18523"/>
  <c r="AP45" i="18523" s="1"/>
  <c r="AP74" i="18523" s="1"/>
  <c r="BN43" i="18523"/>
  <c r="BN45" i="18523" s="1"/>
  <c r="BN74" i="18523" s="1"/>
  <c r="O43" i="18523"/>
  <c r="O45" i="18523" s="1"/>
  <c r="O74" i="18523" s="1"/>
  <c r="AI43" i="18523"/>
  <c r="AI45" i="18523" s="1"/>
  <c r="AI74" i="18523" s="1"/>
  <c r="BT43" i="18523"/>
  <c r="BT45" i="18523" s="1"/>
  <c r="BT74" i="18523" s="1"/>
  <c r="F33" i="18523"/>
  <c r="F49" i="18523" s="1"/>
  <c r="R33" i="18523"/>
  <c r="R49" i="18523" s="1"/>
  <c r="AD33" i="18523"/>
  <c r="AD49" i="18523" s="1"/>
  <c r="AP33" i="18523"/>
  <c r="AP49" i="18523" s="1"/>
  <c r="BB33" i="18523"/>
  <c r="BB49" i="18523" s="1"/>
  <c r="BN33" i="18523"/>
  <c r="BN49" i="18523" s="1"/>
  <c r="AJ43" i="18523"/>
  <c r="AJ45" i="18523" s="1"/>
  <c r="AJ74" i="18523" s="1"/>
  <c r="H33" i="18523"/>
  <c r="T33" i="18523"/>
  <c r="T49" i="18523" s="1"/>
  <c r="AF33" i="18523"/>
  <c r="AF49" i="18523" s="1"/>
  <c r="AR33" i="18523"/>
  <c r="AR49" i="18523" s="1"/>
  <c r="BD33" i="18523"/>
  <c r="BD49" i="18523" s="1"/>
  <c r="BP33" i="18523"/>
  <c r="BP49" i="18523" s="1"/>
  <c r="AM43" i="18523"/>
  <c r="AM45" i="18523" s="1"/>
  <c r="AM74" i="18523" s="1"/>
  <c r="BG43" i="18523"/>
  <c r="BG45" i="18523" s="1"/>
  <c r="BG74" i="18523" s="1"/>
  <c r="I33" i="18523"/>
  <c r="I49" i="18523" s="1"/>
  <c r="U33" i="18523"/>
  <c r="U49" i="18523" s="1"/>
  <c r="AG33" i="18523"/>
  <c r="AG49" i="18523" s="1"/>
  <c r="AS33" i="18523"/>
  <c r="AS49" i="18523" s="1"/>
  <c r="BE33" i="18523"/>
  <c r="BE49" i="18523" s="1"/>
  <c r="BQ33" i="18523"/>
  <c r="BQ49" i="18523" s="1"/>
  <c r="K33" i="18523"/>
  <c r="K49" i="18523" s="1"/>
  <c r="W33" i="18523"/>
  <c r="AI33" i="18523"/>
  <c r="AI49" i="18523" s="1"/>
  <c r="BG33" i="18523"/>
  <c r="BG49" i="18523" s="1"/>
  <c r="BS33" i="18523"/>
  <c r="BS49" i="18523" s="1"/>
  <c r="AS43" i="18523"/>
  <c r="AS45" i="18523" s="1"/>
  <c r="AS74" i="18523" s="1"/>
  <c r="BK43" i="18523"/>
  <c r="BK45" i="18523" s="1"/>
  <c r="BK74" i="18523" s="1"/>
  <c r="L33" i="18523"/>
  <c r="L49" i="18523" s="1"/>
  <c r="X33" i="18523"/>
  <c r="X49" i="18523" s="1"/>
  <c r="AJ33" i="18523"/>
  <c r="AJ49" i="18523" s="1"/>
  <c r="BH33" i="18523"/>
  <c r="BH49" i="18523" s="1"/>
  <c r="BT33" i="18523"/>
  <c r="BT49" i="18523" s="1"/>
  <c r="N43" i="18523"/>
  <c r="N45" i="18523" s="1"/>
  <c r="N74" i="18523" s="1"/>
  <c r="Z43" i="18523"/>
  <c r="Z45" i="18523" s="1"/>
  <c r="Z74" i="18523" s="1"/>
  <c r="AL43" i="18523"/>
  <c r="AL45" i="18523" s="1"/>
  <c r="AL74" i="18523" s="1"/>
  <c r="AX43" i="18523"/>
  <c r="AX45" i="18523" s="1"/>
  <c r="AX74" i="18523" s="1"/>
  <c r="BJ43" i="18523"/>
  <c r="BJ45" i="18523" s="1"/>
  <c r="BJ74" i="18523" s="1"/>
  <c r="AA43" i="18523"/>
  <c r="AA45" i="18523" s="1"/>
  <c r="AA74" i="18523" s="1"/>
  <c r="AU43" i="18523"/>
  <c r="AU45" i="18523" s="1"/>
  <c r="AU74" i="18523" s="1"/>
  <c r="BP43" i="18523"/>
  <c r="BP45" i="18523" s="1"/>
  <c r="BP74" i="18523" s="1"/>
  <c r="B33" i="18523"/>
  <c r="B49" i="18523" s="1"/>
  <c r="N33" i="18523"/>
  <c r="N49" i="18523" s="1"/>
  <c r="Z33" i="18523"/>
  <c r="Z49" i="18523" s="1"/>
  <c r="AL33" i="18523"/>
  <c r="AL49" i="18523" s="1"/>
  <c r="AX33" i="18523"/>
  <c r="AX49" i="18523" s="1"/>
  <c r="BJ33" i="18523"/>
  <c r="BJ49" i="18523" s="1"/>
  <c r="K43" i="18523"/>
  <c r="K45" i="18523" s="1"/>
  <c r="K74" i="18523" s="1"/>
  <c r="AV43" i="18523"/>
  <c r="AV45" i="18523" s="1"/>
  <c r="AV74" i="18523" s="1"/>
  <c r="C40" i="18522"/>
  <c r="F40" i="18522"/>
  <c r="F43" i="18522" s="1"/>
  <c r="F45" i="18522" s="1"/>
  <c r="F74" i="18522" s="1"/>
  <c r="C32" i="18522"/>
  <c r="C62" i="18522" s="1"/>
  <c r="H43" i="18522"/>
  <c r="H45" i="18522" s="1"/>
  <c r="H74" i="18522" s="1"/>
  <c r="F33" i="18522"/>
  <c r="F49" i="18522" s="1"/>
  <c r="F53" i="18522" s="1"/>
  <c r="E40" i="18522"/>
  <c r="E73" i="18522" s="1"/>
  <c r="B43" i="18522"/>
  <c r="B45" i="18522" s="1"/>
  <c r="B74" i="18522" s="1"/>
  <c r="B32" i="18522"/>
  <c r="B71" i="18522" s="1"/>
  <c r="C12" i="18522"/>
  <c r="C16" i="18522"/>
  <c r="C60" i="18522" s="1"/>
  <c r="B16" i="18522"/>
  <c r="B60" i="18522" s="1"/>
  <c r="E33" i="18522"/>
  <c r="E49" i="18522" s="1"/>
  <c r="E53" i="18522" s="1"/>
  <c r="H33" i="18522"/>
  <c r="H49" i="18522" s="1"/>
  <c r="D43" i="18521"/>
  <c r="D45" i="18521" s="1"/>
  <c r="D74" i="18521" s="1"/>
  <c r="D33" i="18521"/>
  <c r="D49" i="18521" s="1"/>
  <c r="J33" i="18521"/>
  <c r="J49" i="18521" s="1"/>
  <c r="E33" i="18521"/>
  <c r="E49" i="18521" s="1"/>
  <c r="K33" i="18521"/>
  <c r="K49" i="18521" s="1"/>
  <c r="C33" i="18521"/>
  <c r="C49" i="18521" s="1"/>
  <c r="F33" i="18521"/>
  <c r="F49" i="18521" s="1"/>
  <c r="B43" i="18521"/>
  <c r="B45" i="18521" s="1"/>
  <c r="B74" i="18521" s="1"/>
  <c r="G33" i="18521"/>
  <c r="G49" i="18521" s="1"/>
  <c r="F43" i="18521"/>
  <c r="F45" i="18521" s="1"/>
  <c r="F74" i="18521" s="1"/>
  <c r="C43" i="18521"/>
  <c r="C45" i="18521" s="1"/>
  <c r="C74" i="18521" s="1"/>
  <c r="J43" i="18521"/>
  <c r="J45" i="18521" s="1"/>
  <c r="J74" i="18521" s="1"/>
  <c r="AH33" i="18514"/>
  <c r="AH49" i="18514" s="1"/>
  <c r="W43" i="18516"/>
  <c r="W45" i="18516" s="1"/>
  <c r="W74" i="18516" s="1"/>
  <c r="G43" i="18519"/>
  <c r="G45" i="18519" s="1"/>
  <c r="G51" i="18519" s="1"/>
  <c r="J33" i="18519"/>
  <c r="J49" i="18519" s="1"/>
  <c r="C34" i="18518"/>
  <c r="C50" i="18518" s="1"/>
  <c r="D34" i="18518"/>
  <c r="D50" i="18518" s="1"/>
  <c r="P44" i="18518"/>
  <c r="P46" i="18518" s="1"/>
  <c r="P75" i="18518" s="1"/>
  <c r="AN33" i="18517"/>
  <c r="AN49" i="18517" s="1"/>
  <c r="AW33" i="18517"/>
  <c r="AW49" i="18517" s="1"/>
  <c r="BG43" i="18517"/>
  <c r="BG45" i="18517" s="1"/>
  <c r="BG74" i="18517" s="1"/>
  <c r="B33" i="18520"/>
  <c r="B49" i="18520" s="1"/>
  <c r="C33" i="18520"/>
  <c r="C49" i="18520" s="1"/>
  <c r="E33" i="18519"/>
  <c r="E49" i="18519" s="1"/>
  <c r="F43" i="18519"/>
  <c r="F45" i="18519" s="1"/>
  <c r="K33" i="18519"/>
  <c r="K49" i="18519" s="1"/>
  <c r="I33" i="18519"/>
  <c r="I49" i="18519" s="1"/>
  <c r="F33" i="18519"/>
  <c r="F49" i="18519" s="1"/>
  <c r="N34" i="18518"/>
  <c r="N50" i="18518" s="1"/>
  <c r="T34" i="18518"/>
  <c r="T50" i="18518" s="1"/>
  <c r="O44" i="18518"/>
  <c r="O46" i="18518" s="1"/>
  <c r="O75" i="18518" s="1"/>
  <c r="K44" i="18518"/>
  <c r="K46" i="18518" s="1"/>
  <c r="K75" i="18518" s="1"/>
  <c r="V44" i="18518"/>
  <c r="V46" i="18518" s="1"/>
  <c r="V75" i="18518" s="1"/>
  <c r="S34" i="18518"/>
  <c r="S50" i="18518" s="1"/>
  <c r="Z44" i="18518"/>
  <c r="Z46" i="18518" s="1"/>
  <c r="Z75" i="18518" s="1"/>
  <c r="M34" i="18518"/>
  <c r="M50" i="18518" s="1"/>
  <c r="O34" i="18518"/>
  <c r="O50" i="18518" s="1"/>
  <c r="U44" i="18518"/>
  <c r="U46" i="18518" s="1"/>
  <c r="U75" i="18518" s="1"/>
  <c r="AT33" i="18517"/>
  <c r="AU33" i="18517"/>
  <c r="AU49" i="18517" s="1"/>
  <c r="BC33" i="18517"/>
  <c r="BC49" i="18517" s="1"/>
  <c r="BM33" i="18517"/>
  <c r="BM49" i="18517" s="1"/>
  <c r="Q43" i="18517"/>
  <c r="Q45" i="18517" s="1"/>
  <c r="Q74" i="18517" s="1"/>
  <c r="AV33" i="18517"/>
  <c r="AV49" i="18517" s="1"/>
  <c r="BD33" i="18517"/>
  <c r="BD49" i="18517" s="1"/>
  <c r="BN33" i="18517"/>
  <c r="BN49" i="18517" s="1"/>
  <c r="AL33" i="18517"/>
  <c r="AL49" i="18517" s="1"/>
  <c r="AO33" i="18517"/>
  <c r="AO49" i="18517" s="1"/>
  <c r="BA43" i="18517"/>
  <c r="BA45" i="18517" s="1"/>
  <c r="BA74" i="18517" s="1"/>
  <c r="T33" i="18517"/>
  <c r="T49" i="18517" s="1"/>
  <c r="BG33" i="18517"/>
  <c r="BG49" i="18517" s="1"/>
  <c r="AR33" i="18517"/>
  <c r="AR49" i="18517" s="1"/>
  <c r="AZ33" i="18517"/>
  <c r="AZ49" i="18517" s="1"/>
  <c r="BH33" i="18517"/>
  <c r="BH49" i="18517" s="1"/>
  <c r="J43" i="18517"/>
  <c r="J45" i="18517" s="1"/>
  <c r="J74" i="18517" s="1"/>
  <c r="AC33" i="18517"/>
  <c r="AC49" i="18517" s="1"/>
  <c r="BH43" i="18517"/>
  <c r="BH45" i="18517" s="1"/>
  <c r="BH74" i="18517" s="1"/>
  <c r="AP43" i="18517"/>
  <c r="AP45" i="18517" s="1"/>
  <c r="AP74" i="18517" s="1"/>
  <c r="AX33" i="18517"/>
  <c r="AX49" i="18517" s="1"/>
  <c r="BF33" i="18517"/>
  <c r="BF49" i="18517" s="1"/>
  <c r="AX43" i="18517"/>
  <c r="AX45" i="18517" s="1"/>
  <c r="AX74" i="18517" s="1"/>
  <c r="U33" i="18516"/>
  <c r="U49" i="18516" s="1"/>
  <c r="V33" i="18516"/>
  <c r="V49" i="18516" s="1"/>
  <c r="W33" i="18516"/>
  <c r="W49" i="18516" s="1"/>
  <c r="AF33" i="18514"/>
  <c r="AF49" i="18514" s="1"/>
  <c r="AC33" i="18514"/>
  <c r="AC49" i="18514" s="1"/>
  <c r="AG33" i="18514"/>
  <c r="AG49" i="18514" s="1"/>
  <c r="AI33" i="18514"/>
  <c r="AI49" i="18514" s="1"/>
  <c r="W33" i="18514"/>
  <c r="W49" i="18514" s="1"/>
  <c r="AD33" i="18514"/>
  <c r="AD49" i="18514" s="1"/>
  <c r="C51" i="18520"/>
  <c r="C47" i="18520"/>
  <c r="B51" i="18520"/>
  <c r="B47" i="18520"/>
  <c r="J51" i="18519"/>
  <c r="J47" i="18519"/>
  <c r="B33" i="18519"/>
  <c r="B49" i="18519" s="1"/>
  <c r="D33" i="18519"/>
  <c r="D49" i="18519" s="1"/>
  <c r="K47" i="18519"/>
  <c r="G33" i="18519"/>
  <c r="G49" i="18519" s="1"/>
  <c r="H33" i="18519"/>
  <c r="H49" i="18519" s="1"/>
  <c r="I51" i="18519"/>
  <c r="I47" i="18519"/>
  <c r="H51" i="18519"/>
  <c r="H47" i="18519"/>
  <c r="C33" i="18519"/>
  <c r="C49" i="18519" s="1"/>
  <c r="B43" i="18519"/>
  <c r="B45" i="18519" s="1"/>
  <c r="E51" i="18519"/>
  <c r="E47" i="18519"/>
  <c r="D51" i="18519"/>
  <c r="D47" i="18519"/>
  <c r="C43" i="18519"/>
  <c r="C45" i="18519" s="1"/>
  <c r="T44" i="18518"/>
  <c r="T46" i="18518" s="1"/>
  <c r="T75" i="18518" s="1"/>
  <c r="F34" i="18518"/>
  <c r="F50" i="18518" s="1"/>
  <c r="I34" i="18518"/>
  <c r="I50" i="18518" s="1"/>
  <c r="J34" i="18518"/>
  <c r="J50" i="18518" s="1"/>
  <c r="R34" i="18518"/>
  <c r="R50" i="18518" s="1"/>
  <c r="L34" i="18518"/>
  <c r="L50" i="18518" s="1"/>
  <c r="Q44" i="18518"/>
  <c r="Q46" i="18518" s="1"/>
  <c r="Q75" i="18518" s="1"/>
  <c r="H44" i="18518"/>
  <c r="H46" i="18518" s="1"/>
  <c r="H75" i="18518" s="1"/>
  <c r="G34" i="18518"/>
  <c r="G50" i="18518" s="1"/>
  <c r="H34" i="18518"/>
  <c r="H50" i="18518" s="1"/>
  <c r="B34" i="18518"/>
  <c r="B50" i="18518" s="1"/>
  <c r="E34" i="18518"/>
  <c r="E50" i="18518" s="1"/>
  <c r="AK43" i="18517"/>
  <c r="AK45" i="18517" s="1"/>
  <c r="AK74" i="18517" s="1"/>
  <c r="AP33" i="18517"/>
  <c r="AP49" i="18517" s="1"/>
  <c r="AJ40" i="18517"/>
  <c r="Z43" i="18517"/>
  <c r="Z45" i="18517" s="1"/>
  <c r="Z74" i="18517" s="1"/>
  <c r="AI40" i="18517"/>
  <c r="AI73" i="18517" s="1"/>
  <c r="AC43" i="18517"/>
  <c r="AC45" i="18517" s="1"/>
  <c r="AC74" i="18517" s="1"/>
  <c r="AK33" i="18517"/>
  <c r="AK49" i="18517" s="1"/>
  <c r="AL43" i="18517"/>
  <c r="AL45" i="18517" s="1"/>
  <c r="AL74" i="18517" s="1"/>
  <c r="AG43" i="18517"/>
  <c r="AG45" i="18517" s="1"/>
  <c r="AG74" i="18517" s="1"/>
  <c r="M33" i="18517"/>
  <c r="M49" i="18517" s="1"/>
  <c r="O33" i="18517"/>
  <c r="O49" i="18517" s="1"/>
  <c r="O43" i="18517"/>
  <c r="O45" i="18517" s="1"/>
  <c r="O74" i="18517" s="1"/>
  <c r="AD43" i="18517"/>
  <c r="AD45" i="18517" s="1"/>
  <c r="AD74" i="18517" s="1"/>
  <c r="J33" i="18517"/>
  <c r="J49" i="18517" s="1"/>
  <c r="AD33" i="18517"/>
  <c r="AD49" i="18517" s="1"/>
  <c r="H33" i="18517"/>
  <c r="H49" i="18517" s="1"/>
  <c r="X33" i="18517"/>
  <c r="X49" i="18517" s="1"/>
  <c r="Y33" i="18517"/>
  <c r="Y49" i="18517" s="1"/>
  <c r="Z33" i="18517"/>
  <c r="Z49" i="18517" s="1"/>
  <c r="N43" i="18517"/>
  <c r="N45" i="18517" s="1"/>
  <c r="N74" i="18517" s="1"/>
  <c r="AA33" i="18517"/>
  <c r="AA49" i="18517" s="1"/>
  <c r="AB33" i="18517"/>
  <c r="AB49" i="18517" s="1"/>
  <c r="P43" i="18517"/>
  <c r="P45" i="18517" s="1"/>
  <c r="P74" i="18517" s="1"/>
  <c r="W33" i="18517"/>
  <c r="W49" i="18517" s="1"/>
  <c r="P33" i="18517"/>
  <c r="P49" i="18517" s="1"/>
  <c r="K33" i="18517"/>
  <c r="K49" i="18517" s="1"/>
  <c r="T43" i="18517"/>
  <c r="T45" i="18517" s="1"/>
  <c r="T74" i="18517" s="1"/>
  <c r="U43" i="18517"/>
  <c r="U45" i="18517" s="1"/>
  <c r="U74" i="18517" s="1"/>
  <c r="M43" i="18517"/>
  <c r="M45" i="18517" s="1"/>
  <c r="M74" i="18517" s="1"/>
  <c r="G33" i="18517"/>
  <c r="G49" i="18517" s="1"/>
  <c r="L47" i="18517"/>
  <c r="I33" i="18517"/>
  <c r="I49" i="18517" s="1"/>
  <c r="B33" i="18517"/>
  <c r="B49" i="18517" s="1"/>
  <c r="C33" i="18517"/>
  <c r="C49" i="18517" s="1"/>
  <c r="F33" i="18517"/>
  <c r="F49" i="18517" s="1"/>
  <c r="T33" i="18516"/>
  <c r="T49" i="18516" s="1"/>
  <c r="S33" i="18516"/>
  <c r="S49" i="18516" s="1"/>
  <c r="O33" i="18516"/>
  <c r="O49" i="18516" s="1"/>
  <c r="R33" i="18516"/>
  <c r="R49" i="18516" s="1"/>
  <c r="H43" i="18516"/>
  <c r="H45" i="18516" s="1"/>
  <c r="H74" i="18516" s="1"/>
  <c r="P33" i="18516"/>
  <c r="P49" i="18516" s="1"/>
  <c r="Q33" i="18516"/>
  <c r="Q49" i="18516" s="1"/>
  <c r="L33" i="18516"/>
  <c r="L49" i="18516" s="1"/>
  <c r="H33" i="18516"/>
  <c r="H49" i="18516" s="1"/>
  <c r="D33" i="18516"/>
  <c r="D49" i="18516" s="1"/>
  <c r="M33" i="18516"/>
  <c r="M49" i="18516" s="1"/>
  <c r="L43" i="18516"/>
  <c r="L45" i="18516" s="1"/>
  <c r="L74" i="18516" s="1"/>
  <c r="J33" i="18516"/>
  <c r="J49" i="18516" s="1"/>
  <c r="K33" i="18516"/>
  <c r="K49" i="18516" s="1"/>
  <c r="F33" i="18516"/>
  <c r="F49" i="18516" s="1"/>
  <c r="D43" i="18516"/>
  <c r="D45" i="18516" s="1"/>
  <c r="D74" i="18516" s="1"/>
  <c r="I33" i="18516"/>
  <c r="I49" i="18516" s="1"/>
  <c r="C33" i="18516"/>
  <c r="C49" i="18516" s="1"/>
  <c r="E33" i="18516"/>
  <c r="E49" i="18516" s="1"/>
  <c r="E43" i="18516"/>
  <c r="E45" i="18516" s="1"/>
  <c r="E74" i="18516" s="1"/>
  <c r="B33" i="18516"/>
  <c r="B49" i="18516" s="1"/>
  <c r="AD43" i="18514"/>
  <c r="AD45" i="18514" s="1"/>
  <c r="AD74" i="18514" s="1"/>
  <c r="Z33" i="18514"/>
  <c r="Z49" i="18514" s="1"/>
  <c r="W43" i="18514"/>
  <c r="W45" i="18514" s="1"/>
  <c r="W74" i="18514" s="1"/>
  <c r="AB33" i="18514"/>
  <c r="AB49" i="18514" s="1"/>
  <c r="X33" i="18514"/>
  <c r="X49" i="18514" s="1"/>
  <c r="V33" i="18514"/>
  <c r="V49" i="18514" s="1"/>
  <c r="Y33" i="18514"/>
  <c r="Y49" i="18514" s="1"/>
  <c r="AA33" i="18514"/>
  <c r="AA49" i="18514" s="1"/>
  <c r="V43" i="18514"/>
  <c r="V45" i="18514" s="1"/>
  <c r="V74" i="18514" s="1"/>
  <c r="L33" i="18514"/>
  <c r="T43" i="18514"/>
  <c r="T45" i="18514" s="1"/>
  <c r="T74" i="18514" s="1"/>
  <c r="M12" i="18514"/>
  <c r="M71" i="18514" s="1"/>
  <c r="R43" i="18514"/>
  <c r="R45" i="18514" s="1"/>
  <c r="R74" i="18514" s="1"/>
  <c r="S43" i="18514"/>
  <c r="S45" i="18514" s="1"/>
  <c r="S74" i="18514" s="1"/>
  <c r="S33" i="18514"/>
  <c r="S49" i="18514" s="1"/>
  <c r="P33" i="18514"/>
  <c r="P49" i="18514" s="1"/>
  <c r="N33" i="18514"/>
  <c r="N49" i="18514" s="1"/>
  <c r="Q33" i="18514"/>
  <c r="Q49" i="18514" s="1"/>
  <c r="H33" i="18514"/>
  <c r="H49" i="18514" s="1"/>
  <c r="M33" i="18514"/>
  <c r="L12" i="18514"/>
  <c r="L63" i="18514" s="1"/>
  <c r="O33" i="18514"/>
  <c r="O49" i="18514" s="1"/>
  <c r="I33" i="18514"/>
  <c r="I49" i="18514" s="1"/>
  <c r="E33" i="18514"/>
  <c r="E49" i="18514" s="1"/>
  <c r="G43" i="18514"/>
  <c r="G45" i="18514" s="1"/>
  <c r="G74" i="18514" s="1"/>
  <c r="D33" i="18514"/>
  <c r="D49" i="18514" s="1"/>
  <c r="F33" i="18514"/>
  <c r="F49" i="18514" s="1"/>
  <c r="G33" i="18514"/>
  <c r="G49" i="18514" s="1"/>
  <c r="B33" i="18514"/>
  <c r="B49" i="18514" s="1"/>
  <c r="I33" i="1"/>
  <c r="I49" i="1" s="1"/>
  <c r="H33" i="1"/>
  <c r="H49" i="1" s="1"/>
  <c r="R44" i="1"/>
  <c r="U44" i="1" s="1"/>
  <c r="Q44" i="1"/>
  <c r="T44" i="1" s="1"/>
  <c r="R42" i="1"/>
  <c r="U42" i="1" s="1"/>
  <c r="R41" i="1"/>
  <c r="U41" i="1" s="1"/>
  <c r="Q42" i="1"/>
  <c r="T42" i="1" s="1"/>
  <c r="Q41" i="1"/>
  <c r="T41" i="1" s="1"/>
  <c r="R39" i="1"/>
  <c r="Q39" i="1"/>
  <c r="T39" i="1" s="1"/>
  <c r="R37" i="1"/>
  <c r="Q37" i="1"/>
  <c r="Q27" i="1"/>
  <c r="T27" i="1" s="1"/>
  <c r="Q26" i="1"/>
  <c r="T26" i="1" s="1"/>
  <c r="R27" i="1"/>
  <c r="U27" i="1" s="1"/>
  <c r="R26" i="1"/>
  <c r="U26" i="1" s="1"/>
  <c r="R25" i="1"/>
  <c r="U25" i="1" s="1"/>
  <c r="Q25" i="1"/>
  <c r="T25" i="1" s="1"/>
  <c r="R18" i="1"/>
  <c r="U18" i="1" s="1"/>
  <c r="Q18" i="1"/>
  <c r="T18" i="1" s="1"/>
  <c r="R15" i="1"/>
  <c r="R14" i="1"/>
  <c r="Q15" i="1"/>
  <c r="Q14" i="1"/>
  <c r="R11" i="1"/>
  <c r="R10" i="1"/>
  <c r="Q11" i="1"/>
  <c r="Q10" i="1"/>
  <c r="AL7" i="18525" l="1"/>
  <c r="AG7" i="18525"/>
  <c r="CH40" i="18523"/>
  <c r="CH73" i="18523" s="1"/>
  <c r="AF7" i="18525"/>
  <c r="AJ7" i="18525"/>
  <c r="AB7" i="18525"/>
  <c r="K71" i="18522"/>
  <c r="AK7" i="18525"/>
  <c r="CI82" i="18523"/>
  <c r="I51" i="1"/>
  <c r="I74" i="1"/>
  <c r="S7" i="18525"/>
  <c r="L47" i="1"/>
  <c r="L74" i="1"/>
  <c r="S8" i="18525"/>
  <c r="T10" i="1"/>
  <c r="Q58" i="1"/>
  <c r="U39" i="1"/>
  <c r="U83" i="1" s="1"/>
  <c r="R83" i="1"/>
  <c r="AG9" i="18525"/>
  <c r="AF9" i="18525"/>
  <c r="H51" i="1"/>
  <c r="H74" i="1"/>
  <c r="R7" i="18525"/>
  <c r="T11" i="1"/>
  <c r="Q68" i="1"/>
  <c r="U10" i="1"/>
  <c r="R58" i="1"/>
  <c r="T14" i="1"/>
  <c r="B74" i="1"/>
  <c r="R5" i="18525"/>
  <c r="AL9" i="18525"/>
  <c r="U37" i="1"/>
  <c r="R81" i="1"/>
  <c r="C10" i="18525"/>
  <c r="T15" i="1"/>
  <c r="U14" i="1"/>
  <c r="AC7" i="18525"/>
  <c r="L8" i="18525"/>
  <c r="M8" i="18525"/>
  <c r="T37" i="1"/>
  <c r="T40" i="1" s="1"/>
  <c r="B10" i="18525"/>
  <c r="B11" i="18525" s="1"/>
  <c r="U9" i="18525"/>
  <c r="U11" i="1"/>
  <c r="R68" i="1"/>
  <c r="U15" i="1"/>
  <c r="T9" i="18525"/>
  <c r="AU61" i="18523"/>
  <c r="K43" i="18522"/>
  <c r="K45" i="18522" s="1"/>
  <c r="K73" i="18522"/>
  <c r="C84" i="18522"/>
  <c r="C73" i="18522"/>
  <c r="K16" i="18522"/>
  <c r="K60" i="18522"/>
  <c r="K76" i="18522"/>
  <c r="K66" i="18522"/>
  <c r="K58" i="18522"/>
  <c r="K62" i="18522"/>
  <c r="I73" i="18522"/>
  <c r="I84" i="18522"/>
  <c r="L58" i="18522"/>
  <c r="L76" i="18522"/>
  <c r="L40" i="18522"/>
  <c r="L82" i="18522"/>
  <c r="C66" i="18522"/>
  <c r="C78" i="18522"/>
  <c r="C69" i="18522"/>
  <c r="C65" i="18522"/>
  <c r="L83" i="18522"/>
  <c r="K68" i="18522"/>
  <c r="B62" i="18522"/>
  <c r="B63" i="18522"/>
  <c r="B61" i="18522"/>
  <c r="I43" i="18522"/>
  <c r="I45" i="18522" s="1"/>
  <c r="I74" i="18522" s="1"/>
  <c r="B69" i="18522"/>
  <c r="B66" i="18522"/>
  <c r="B65" i="18522"/>
  <c r="L80" i="18522"/>
  <c r="C80" i="18522"/>
  <c r="C71" i="18522"/>
  <c r="L16" i="18522"/>
  <c r="L68" i="18522"/>
  <c r="L12" i="18522"/>
  <c r="C61" i="18522"/>
  <c r="C79" i="18522"/>
  <c r="C63" i="18522"/>
  <c r="C43" i="18522"/>
  <c r="C45" i="18522" s="1"/>
  <c r="C74" i="18522" s="1"/>
  <c r="F84" i="18522"/>
  <c r="F73" i="18522"/>
  <c r="W63" i="18523"/>
  <c r="AV61" i="18523"/>
  <c r="E43" i="18524"/>
  <c r="E45" i="18524" s="1"/>
  <c r="E74" i="18524" s="1"/>
  <c r="M61" i="18514"/>
  <c r="M80" i="18514"/>
  <c r="E71" i="18524"/>
  <c r="E61" i="18524"/>
  <c r="E63" i="18524"/>
  <c r="AF61" i="18524"/>
  <c r="F71" i="18524"/>
  <c r="F80" i="18524"/>
  <c r="AG79" i="18524"/>
  <c r="AG61" i="18524"/>
  <c r="B62" i="18524"/>
  <c r="B71" i="18524"/>
  <c r="B61" i="18524"/>
  <c r="AG60" i="18524"/>
  <c r="AF60" i="18524"/>
  <c r="F61" i="18524"/>
  <c r="F79" i="18524"/>
  <c r="F63" i="18524"/>
  <c r="AG58" i="18524"/>
  <c r="E60" i="18524"/>
  <c r="AF58" i="18524"/>
  <c r="F84" i="18524"/>
  <c r="F73" i="18524"/>
  <c r="F69" i="18524"/>
  <c r="F65" i="18524"/>
  <c r="F66" i="18524"/>
  <c r="F78" i="18524"/>
  <c r="E69" i="18524"/>
  <c r="E65" i="18524"/>
  <c r="E66" i="18524"/>
  <c r="AG62" i="18524"/>
  <c r="AG68" i="18524"/>
  <c r="AF62" i="18524"/>
  <c r="AF68" i="18524"/>
  <c r="AG80" i="18524"/>
  <c r="F62" i="18524"/>
  <c r="R73" i="18524"/>
  <c r="R84" i="18524"/>
  <c r="J71" i="18514"/>
  <c r="J62" i="18514"/>
  <c r="O84" i="18514"/>
  <c r="O73" i="18514"/>
  <c r="C71" i="18514"/>
  <c r="C62" i="18514"/>
  <c r="C80" i="18514"/>
  <c r="AA73" i="18514"/>
  <c r="AA84" i="18514"/>
  <c r="Q84" i="18514"/>
  <c r="M78" i="18514"/>
  <c r="M69" i="18514"/>
  <c r="M66" i="18514"/>
  <c r="M65" i="18514"/>
  <c r="R71" i="18514"/>
  <c r="R62" i="18514"/>
  <c r="M63" i="18514"/>
  <c r="F47" i="18514"/>
  <c r="F74" i="18514"/>
  <c r="AE43" i="18514"/>
  <c r="AE45" i="18514" s="1"/>
  <c r="AE74" i="18514" s="1"/>
  <c r="AE73" i="18514"/>
  <c r="AE84" i="18514"/>
  <c r="K33" i="18514"/>
  <c r="K49" i="18514" s="1"/>
  <c r="K71" i="18514"/>
  <c r="K62" i="18514"/>
  <c r="K80" i="18514"/>
  <c r="L71" i="18514"/>
  <c r="M84" i="18514"/>
  <c r="M73" i="18514"/>
  <c r="J61" i="18514"/>
  <c r="I73" i="18514"/>
  <c r="I84" i="18514"/>
  <c r="E73" i="18514"/>
  <c r="E84" i="18514"/>
  <c r="K61" i="18514"/>
  <c r="C61" i="18514"/>
  <c r="L69" i="18514"/>
  <c r="L66" i="18514"/>
  <c r="L65" i="18514"/>
  <c r="BW83" i="18514"/>
  <c r="U43" i="18514"/>
  <c r="U45" i="18514" s="1"/>
  <c r="U74" i="18514" s="1"/>
  <c r="U84" i="18514"/>
  <c r="U73" i="18514"/>
  <c r="AC84" i="18514"/>
  <c r="S80" i="18514"/>
  <c r="AG51" i="18523"/>
  <c r="H49" i="18523"/>
  <c r="CI83" i="18523"/>
  <c r="B43" i="18523"/>
  <c r="B45" i="18523" s="1"/>
  <c r="B74" i="18523" s="1"/>
  <c r="W71" i="18523"/>
  <c r="AG47" i="18523"/>
  <c r="BE84" i="18523"/>
  <c r="BE73" i="18523"/>
  <c r="U84" i="18523"/>
  <c r="U73" i="18523"/>
  <c r="BB84" i="18523"/>
  <c r="BB73" i="18523"/>
  <c r="CH66" i="18523"/>
  <c r="CH65" i="18523"/>
  <c r="CH69" i="18523"/>
  <c r="CH63" i="18523"/>
  <c r="CH61" i="18523"/>
  <c r="CH60" i="18523"/>
  <c r="I84" i="18523"/>
  <c r="I73" i="18523"/>
  <c r="CH71" i="18523"/>
  <c r="CH62" i="18523"/>
  <c r="AU71" i="18523"/>
  <c r="AU62" i="18523"/>
  <c r="C73" i="18523"/>
  <c r="C84" i="18523"/>
  <c r="H66" i="18523"/>
  <c r="H69" i="18523"/>
  <c r="H65" i="18523"/>
  <c r="F73" i="18523"/>
  <c r="F84" i="18523"/>
  <c r="W66" i="18523"/>
  <c r="W69" i="18523"/>
  <c r="W65" i="18523"/>
  <c r="CI80" i="18523"/>
  <c r="CI71" i="18523"/>
  <c r="CI62" i="18523"/>
  <c r="CI65" i="18523"/>
  <c r="H71" i="18523"/>
  <c r="T43" i="18523"/>
  <c r="T45" i="18523" s="1"/>
  <c r="T74" i="18523" s="1"/>
  <c r="L47" i="18523"/>
  <c r="BH84" i="18523"/>
  <c r="BH73" i="18523"/>
  <c r="I78" i="18523"/>
  <c r="AY84" i="18523"/>
  <c r="AY73" i="18523"/>
  <c r="L51" i="18523"/>
  <c r="CI79" i="18523"/>
  <c r="CI61" i="18523"/>
  <c r="CI63" i="18523"/>
  <c r="CI60" i="18523"/>
  <c r="X84" i="18523"/>
  <c r="X73" i="18523"/>
  <c r="CI78" i="18523"/>
  <c r="AV80" i="18523"/>
  <c r="AV71" i="18523"/>
  <c r="AV62" i="18523"/>
  <c r="BW81" i="18516"/>
  <c r="CW82" i="18517"/>
  <c r="K43" i="18517"/>
  <c r="K45" i="18517" s="1"/>
  <c r="K74" i="18517" s="1"/>
  <c r="K73" i="18517"/>
  <c r="K84" i="18517"/>
  <c r="CW83" i="18517"/>
  <c r="BB80" i="18517"/>
  <c r="BB62" i="18517"/>
  <c r="BB71" i="18517"/>
  <c r="AE51" i="18517"/>
  <c r="AE74" i="18517"/>
  <c r="E80" i="18517"/>
  <c r="E62" i="18517"/>
  <c r="E71" i="18517"/>
  <c r="AH73" i="18517"/>
  <c r="AH84" i="18517"/>
  <c r="AJ73" i="18517"/>
  <c r="AJ84" i="18517"/>
  <c r="D71" i="18517"/>
  <c r="D62" i="18517"/>
  <c r="S84" i="18517"/>
  <c r="S73" i="18517"/>
  <c r="AS63" i="18517"/>
  <c r="BJ84" i="18517"/>
  <c r="BJ73" i="18517"/>
  <c r="E61" i="18517"/>
  <c r="W51" i="18517"/>
  <c r="AT69" i="18517"/>
  <c r="AT66" i="18517"/>
  <c r="AT78" i="18517"/>
  <c r="AT65" i="18517"/>
  <c r="I73" i="18517"/>
  <c r="I84" i="18517"/>
  <c r="BD73" i="18517"/>
  <c r="BD84" i="18517"/>
  <c r="C43" i="18517"/>
  <c r="C45" i="18517" s="1"/>
  <c r="C74" i="18517" s="1"/>
  <c r="C84" i="18517"/>
  <c r="C73" i="18517"/>
  <c r="AF73" i="18517"/>
  <c r="AF84" i="18517"/>
  <c r="BB61" i="18517"/>
  <c r="AT71" i="18517"/>
  <c r="AS66" i="18517"/>
  <c r="AS65" i="18517"/>
  <c r="AS69" i="18517"/>
  <c r="BB43" i="18517"/>
  <c r="BB45" i="18517" s="1"/>
  <c r="BB74" i="18517" s="1"/>
  <c r="BB73" i="18517"/>
  <c r="BB84" i="18517"/>
  <c r="AR43" i="18517"/>
  <c r="AR45" i="18517" s="1"/>
  <c r="AR74" i="18517" s="1"/>
  <c r="AR84" i="18517"/>
  <c r="AR73" i="18517"/>
  <c r="AT63" i="18517"/>
  <c r="CV61" i="18517"/>
  <c r="CW60" i="18517"/>
  <c r="CW79" i="18517"/>
  <c r="BV60" i="18514"/>
  <c r="BW79" i="18514"/>
  <c r="BW60" i="18514"/>
  <c r="Q63" i="18518"/>
  <c r="Q81" i="18518"/>
  <c r="Q72" i="18518"/>
  <c r="BJ72" i="18518"/>
  <c r="BJ63" i="18518"/>
  <c r="G44" i="18518"/>
  <c r="G46" i="18518" s="1"/>
  <c r="G75" i="18518" s="1"/>
  <c r="G74" i="18518"/>
  <c r="G85" i="18518"/>
  <c r="BJ64" i="18518"/>
  <c r="BJ62" i="18518"/>
  <c r="BJ61" i="18518"/>
  <c r="P34" i="18518"/>
  <c r="P50" i="18518" s="1"/>
  <c r="P72" i="18518"/>
  <c r="P63" i="18518"/>
  <c r="B48" i="18518"/>
  <c r="Y79" i="18518"/>
  <c r="Y70" i="18518"/>
  <c r="Y67" i="18518"/>
  <c r="Y66" i="18518"/>
  <c r="Y85" i="18518"/>
  <c r="Y74" i="18518"/>
  <c r="AA44" i="18518"/>
  <c r="AA46" i="18518" s="1"/>
  <c r="AA75" i="18518" s="1"/>
  <c r="AA85" i="18518"/>
  <c r="AA74" i="18518"/>
  <c r="Y72" i="18518"/>
  <c r="I44" i="18518"/>
  <c r="I46" i="18518" s="1"/>
  <c r="I75" i="18518" s="1"/>
  <c r="I85" i="18518"/>
  <c r="I74" i="18518"/>
  <c r="E52" i="18518"/>
  <c r="BJ70" i="18518"/>
  <c r="BJ67" i="18518"/>
  <c r="BJ66" i="18518"/>
  <c r="C44" i="18518"/>
  <c r="C46" i="18518" s="1"/>
  <c r="C75" i="18518" s="1"/>
  <c r="C85" i="18518"/>
  <c r="C74" i="18518"/>
  <c r="BK80" i="18518"/>
  <c r="BK62" i="18518"/>
  <c r="BK61" i="18518"/>
  <c r="BK81" i="18518"/>
  <c r="BK63" i="18518"/>
  <c r="BK84" i="18518"/>
  <c r="Q62" i="18518"/>
  <c r="G43" i="18521"/>
  <c r="G45" i="18521" s="1"/>
  <c r="G74" i="18521" s="1"/>
  <c r="G73" i="18521"/>
  <c r="G84" i="18521"/>
  <c r="E84" i="18521"/>
  <c r="E73" i="18521"/>
  <c r="B61" i="18521"/>
  <c r="K73" i="18521"/>
  <c r="K84" i="18521"/>
  <c r="B62" i="18521"/>
  <c r="B71" i="18521"/>
  <c r="BW69" i="18516"/>
  <c r="BW78" i="18516"/>
  <c r="BW66" i="18516"/>
  <c r="BW65" i="18516"/>
  <c r="BW63" i="18516"/>
  <c r="BV69" i="18516"/>
  <c r="BV66" i="18516"/>
  <c r="BV65" i="18516"/>
  <c r="BV63" i="18516"/>
  <c r="O73" i="18516"/>
  <c r="O84" i="18516"/>
  <c r="M84" i="18516"/>
  <c r="M73" i="18516"/>
  <c r="BV71" i="18516"/>
  <c r="BV62" i="18516"/>
  <c r="BV61" i="18516"/>
  <c r="K84" i="18516"/>
  <c r="BW80" i="18516"/>
  <c r="BW71" i="18516"/>
  <c r="BW61" i="18516"/>
  <c r="G80" i="18516"/>
  <c r="G71" i="18516"/>
  <c r="G62" i="18516"/>
  <c r="G61" i="18516"/>
  <c r="AA47" i="18517"/>
  <c r="AQ43" i="18517"/>
  <c r="AQ45" i="18517" s="1"/>
  <c r="AQ74" i="18517" s="1"/>
  <c r="AB47" i="18517"/>
  <c r="AA51" i="18517"/>
  <c r="AY51" i="18517"/>
  <c r="E33" i="18517"/>
  <c r="E49" i="18517" s="1"/>
  <c r="R47" i="18517"/>
  <c r="X51" i="18517"/>
  <c r="AW47" i="18517"/>
  <c r="R51" i="18517"/>
  <c r="AW51" i="18517"/>
  <c r="AN47" i="18517"/>
  <c r="BC51" i="18517"/>
  <c r="X47" i="18517"/>
  <c r="AN51" i="18517"/>
  <c r="BL47" i="18517"/>
  <c r="AM47" i="18517"/>
  <c r="BF47" i="18517"/>
  <c r="D33" i="18517"/>
  <c r="D49" i="18517" s="1"/>
  <c r="BF51" i="18517"/>
  <c r="AO47" i="18517"/>
  <c r="BI47" i="18517"/>
  <c r="BN47" i="18517"/>
  <c r="BM47" i="18517"/>
  <c r="N52" i="18518"/>
  <c r="M48" i="18518"/>
  <c r="L52" i="18518"/>
  <c r="J48" i="18518"/>
  <c r="J52" i="18518"/>
  <c r="N48" i="18518"/>
  <c r="M52" i="18518"/>
  <c r="S52" i="18518"/>
  <c r="D52" i="18518"/>
  <c r="R48" i="18518"/>
  <c r="R52" i="18518"/>
  <c r="AB52" i="18518"/>
  <c r="X48" i="18518"/>
  <c r="E48" i="18518"/>
  <c r="X52" i="18518"/>
  <c r="Y50" i="18518"/>
  <c r="BJ44" i="18518"/>
  <c r="BJ46" i="18518" s="1"/>
  <c r="BJ75" i="18518" s="1"/>
  <c r="Y44" i="18518"/>
  <c r="Y46" i="18518" s="1"/>
  <c r="Y75" i="18518" s="1"/>
  <c r="D48" i="18518"/>
  <c r="L48" i="18518"/>
  <c r="AB48" i="18518"/>
  <c r="AC48" i="18518"/>
  <c r="S48" i="18518"/>
  <c r="Q34" i="18518"/>
  <c r="Q50" i="18518" s="1"/>
  <c r="AC52" i="18518"/>
  <c r="F44" i="18518"/>
  <c r="F46" i="18518" s="1"/>
  <c r="B52" i="18518"/>
  <c r="CW12" i="18517"/>
  <c r="Y47" i="18517"/>
  <c r="Y51" i="18517"/>
  <c r="CW32" i="18517"/>
  <c r="G47" i="18517"/>
  <c r="G51" i="18517" s="1"/>
  <c r="B43" i="18517"/>
  <c r="B45" i="18517" s="1"/>
  <c r="B74" i="18517" s="1"/>
  <c r="W47" i="18517"/>
  <c r="AY47" i="18517"/>
  <c r="BC47" i="18517"/>
  <c r="BB33" i="18517"/>
  <c r="BB49" i="18517" s="1"/>
  <c r="AS49" i="18517"/>
  <c r="BD43" i="18517"/>
  <c r="BD45" i="18517" s="1"/>
  <c r="BD74" i="18517" s="1"/>
  <c r="AH43" i="18517"/>
  <c r="AH45" i="18517" s="1"/>
  <c r="AH74" i="18517" s="1"/>
  <c r="I43" i="18517"/>
  <c r="I45" i="18517" s="1"/>
  <c r="I74" i="18517" s="1"/>
  <c r="AT47" i="18517"/>
  <c r="AF43" i="18517"/>
  <c r="AF45" i="18517" s="1"/>
  <c r="AF74" i="18517" s="1"/>
  <c r="F47" i="18517"/>
  <c r="F51" i="18517" s="1"/>
  <c r="S43" i="18517"/>
  <c r="S45" i="18517" s="1"/>
  <c r="S74" i="18517" s="1"/>
  <c r="AT49" i="18517"/>
  <c r="H47" i="18517"/>
  <c r="AM51" i="18517"/>
  <c r="AZ47" i="18517"/>
  <c r="AV47" i="18517"/>
  <c r="BE47" i="18517"/>
  <c r="AE47" i="18517"/>
  <c r="AB51" i="18517"/>
  <c r="AT51" i="18517"/>
  <c r="H51" i="18517"/>
  <c r="AZ51" i="18517"/>
  <c r="AV51" i="18517"/>
  <c r="BE51" i="18517"/>
  <c r="BJ43" i="18517"/>
  <c r="BJ45" i="18517" s="1"/>
  <c r="BJ74" i="18517" s="1"/>
  <c r="E47" i="18517"/>
  <c r="E51" i="18517" s="1"/>
  <c r="D47" i="18517"/>
  <c r="D51" i="18517" s="1"/>
  <c r="J51" i="18517"/>
  <c r="AO51" i="18517"/>
  <c r="AU47" i="18517"/>
  <c r="AU51" i="18517"/>
  <c r="CV12" i="18517"/>
  <c r="V47" i="18516"/>
  <c r="V51" i="18516"/>
  <c r="F47" i="18516"/>
  <c r="F51" i="18516"/>
  <c r="S47" i="18516"/>
  <c r="Z51" i="18514"/>
  <c r="J47" i="18514"/>
  <c r="Q47" i="18514"/>
  <c r="AF47" i="18514"/>
  <c r="J51" i="18514"/>
  <c r="AC47" i="18514"/>
  <c r="K47" i="18514"/>
  <c r="AC51" i="18514"/>
  <c r="Q51" i="18514"/>
  <c r="AF51" i="18514"/>
  <c r="L47" i="18514"/>
  <c r="L51" i="18514"/>
  <c r="C47" i="18516"/>
  <c r="C51" i="18516"/>
  <c r="N51" i="18514"/>
  <c r="C51" i="18514"/>
  <c r="C47" i="18514"/>
  <c r="N47" i="18514"/>
  <c r="Z47" i="18514"/>
  <c r="C33" i="18514"/>
  <c r="C49" i="18514" s="1"/>
  <c r="Y47" i="18514"/>
  <c r="J33" i="18514"/>
  <c r="J49" i="18514" s="1"/>
  <c r="X51" i="18514"/>
  <c r="X47" i="18514"/>
  <c r="BV12" i="18514"/>
  <c r="AG47" i="18514"/>
  <c r="AH51" i="18514"/>
  <c r="Y51" i="18514"/>
  <c r="D43" i="18514"/>
  <c r="D45" i="18514" s="1"/>
  <c r="D74" i="18514" s="1"/>
  <c r="AG51" i="18514"/>
  <c r="B51" i="18514"/>
  <c r="F51" i="18514"/>
  <c r="K51" i="18514"/>
  <c r="AH47" i="18514"/>
  <c r="BW76" i="18514"/>
  <c r="M43" i="18514"/>
  <c r="M45" i="18514" s="1"/>
  <c r="M74" i="18514" s="1"/>
  <c r="BV76" i="18514"/>
  <c r="AA43" i="18514"/>
  <c r="AA45" i="18514" s="1"/>
  <c r="AA74" i="18514" s="1"/>
  <c r="O43" i="18514"/>
  <c r="O45" i="18514" s="1"/>
  <c r="O74" i="18514" s="1"/>
  <c r="AI47" i="18514"/>
  <c r="B47" i="18514"/>
  <c r="AI51" i="18514"/>
  <c r="AB43" i="18514"/>
  <c r="AB45" i="18514" s="1"/>
  <c r="AB74" i="18514" s="1"/>
  <c r="I43" i="18514"/>
  <c r="I45" i="18514" s="1"/>
  <c r="I74" i="18514" s="1"/>
  <c r="P43" i="18514"/>
  <c r="P45" i="18514" s="1"/>
  <c r="P74" i="18514" s="1"/>
  <c r="I47" i="18516"/>
  <c r="I51" i="18516"/>
  <c r="G51" i="18516"/>
  <c r="K47" i="18516"/>
  <c r="K51" i="18516"/>
  <c r="S51" i="18516"/>
  <c r="P51" i="18516"/>
  <c r="B47" i="18516"/>
  <c r="B51" i="18516"/>
  <c r="R47" i="18516"/>
  <c r="Q47" i="18516"/>
  <c r="R51" i="18516"/>
  <c r="T47" i="18516"/>
  <c r="T51" i="18516" s="1"/>
  <c r="BV33" i="18516"/>
  <c r="BV49" i="18516" s="1"/>
  <c r="J43" i="18516"/>
  <c r="J45" i="18516" s="1"/>
  <c r="Q51" i="18516"/>
  <c r="O43" i="18516"/>
  <c r="O45" i="18516" s="1"/>
  <c r="O74" i="18516" s="1"/>
  <c r="G47" i="18516"/>
  <c r="P47" i="18516"/>
  <c r="N43" i="18516"/>
  <c r="N45" i="18516" s="1"/>
  <c r="N74" i="18516" s="1"/>
  <c r="U47" i="18516"/>
  <c r="U51" i="18516" s="1"/>
  <c r="BM51" i="18517"/>
  <c r="BN51" i="18517"/>
  <c r="BW12" i="18514"/>
  <c r="H43" i="18514"/>
  <c r="H45" i="18514" s="1"/>
  <c r="H74" i="18514" s="1"/>
  <c r="E43" i="18514"/>
  <c r="E45" i="18514" s="1"/>
  <c r="E74" i="18514" s="1"/>
  <c r="R33" i="18514"/>
  <c r="R49" i="18514" s="1"/>
  <c r="BV40" i="18514"/>
  <c r="BV73" i="18514" s="1"/>
  <c r="S47" i="18514"/>
  <c r="G51" i="18514"/>
  <c r="W51" i="18514"/>
  <c r="T26" i="18514"/>
  <c r="V51" i="18514"/>
  <c r="BW40" i="18514"/>
  <c r="R47" i="18514"/>
  <c r="AD51" i="18514"/>
  <c r="O33" i="18519"/>
  <c r="F47" i="18519"/>
  <c r="C51" i="18519"/>
  <c r="G47" i="18519"/>
  <c r="O40" i="18519"/>
  <c r="B51" i="18519"/>
  <c r="G33" i="18516"/>
  <c r="G49" i="18516" s="1"/>
  <c r="B33" i="18524"/>
  <c r="B49" i="18524" s="1"/>
  <c r="AF12" i="18524"/>
  <c r="AF43" i="18524"/>
  <c r="AF45" i="18524" s="1"/>
  <c r="K47" i="18524"/>
  <c r="AG40" i="18524"/>
  <c r="AF33" i="18524"/>
  <c r="AG12" i="18524"/>
  <c r="AG71" i="18524" s="1"/>
  <c r="AG76" i="18524"/>
  <c r="CI33" i="18523"/>
  <c r="CI49" i="18523" s="1"/>
  <c r="AR47" i="18523"/>
  <c r="AR51" i="18523"/>
  <c r="CI40" i="18523"/>
  <c r="BQ51" i="18523"/>
  <c r="CH76" i="18523"/>
  <c r="CH33" i="18523"/>
  <c r="CH49" i="18523" s="1"/>
  <c r="CH43" i="18523"/>
  <c r="CH45" i="18523" s="1"/>
  <c r="CH74" i="18523" s="1"/>
  <c r="AF51" i="18523"/>
  <c r="BS51" i="18523"/>
  <c r="E47" i="18521"/>
  <c r="E51" i="18521"/>
  <c r="W48" i="18518"/>
  <c r="W52" i="18518"/>
  <c r="BK41" i="18518"/>
  <c r="BK12" i="18518"/>
  <c r="O52" i="18518"/>
  <c r="Q48" i="18518"/>
  <c r="V48" i="18518"/>
  <c r="U52" i="18518"/>
  <c r="P48" i="18518"/>
  <c r="H52" i="18518"/>
  <c r="T52" i="18518"/>
  <c r="Z52" i="18518"/>
  <c r="K52" i="18518"/>
  <c r="B33" i="18521"/>
  <c r="B49" i="18521" s="1"/>
  <c r="L51" i="1"/>
  <c r="U32" i="1"/>
  <c r="T32" i="1"/>
  <c r="R76" i="1"/>
  <c r="L7" i="18525"/>
  <c r="M7" i="18525"/>
  <c r="I47" i="1"/>
  <c r="Q76" i="1"/>
  <c r="H47" i="1"/>
  <c r="B47" i="1"/>
  <c r="M43" i="18516"/>
  <c r="M45" i="18516" s="1"/>
  <c r="M74" i="18516" s="1"/>
  <c r="BV40" i="18516"/>
  <c r="BV73" i="18516" s="1"/>
  <c r="L51" i="18516"/>
  <c r="D51" i="18516"/>
  <c r="H47" i="18516"/>
  <c r="E51" i="18516"/>
  <c r="W47" i="18516"/>
  <c r="BW33" i="18516"/>
  <c r="BW49" i="18516" s="1"/>
  <c r="BW40" i="18516"/>
  <c r="BL51" i="18517"/>
  <c r="BH47" i="18517"/>
  <c r="BH51" i="18517"/>
  <c r="BI51" i="18517"/>
  <c r="AS51" i="18517"/>
  <c r="AX47" i="18517"/>
  <c r="U51" i="18517"/>
  <c r="CV33" i="18517"/>
  <c r="AK47" i="18517"/>
  <c r="AK51" i="18517" s="1"/>
  <c r="T51" i="18517"/>
  <c r="AG51" i="18517"/>
  <c r="BG51" i="18517"/>
  <c r="N47" i="18517"/>
  <c r="N51" i="18517" s="1"/>
  <c r="BA47" i="18517"/>
  <c r="AX51" i="18517"/>
  <c r="AP47" i="18517"/>
  <c r="AI43" i="18517"/>
  <c r="AI45" i="18517" s="1"/>
  <c r="AI74" i="18517" s="1"/>
  <c r="AD51" i="18517"/>
  <c r="AL47" i="18517"/>
  <c r="AL51" i="18517" s="1"/>
  <c r="Z47" i="18517"/>
  <c r="Q47" i="18517"/>
  <c r="Q51" i="18517" s="1"/>
  <c r="M47" i="18517"/>
  <c r="P47" i="18517"/>
  <c r="P51" i="18517" s="1"/>
  <c r="O47" i="18517"/>
  <c r="O51" i="18517" s="1"/>
  <c r="AC51" i="18517"/>
  <c r="AJ43" i="18517"/>
  <c r="AJ45" i="18517" s="1"/>
  <c r="AJ74" i="18517" s="1"/>
  <c r="J47" i="18517"/>
  <c r="CV40" i="18517"/>
  <c r="CV73" i="18517" s="1"/>
  <c r="CW40" i="18517"/>
  <c r="E47" i="18520"/>
  <c r="N51" i="18519"/>
  <c r="N47" i="18519"/>
  <c r="O49" i="18519"/>
  <c r="N33" i="18519"/>
  <c r="N49" i="18519" s="1"/>
  <c r="BJ34" i="18518"/>
  <c r="BJ50" i="18518" s="1"/>
  <c r="BK34" i="18518"/>
  <c r="AG33" i="18524"/>
  <c r="K51" i="18524"/>
  <c r="F33" i="18524"/>
  <c r="F49" i="18524" s="1"/>
  <c r="C47" i="18524"/>
  <c r="C51" i="18524" s="1"/>
  <c r="E51" i="18524"/>
  <c r="I51" i="18524"/>
  <c r="I47" i="18524"/>
  <c r="H51" i="18524"/>
  <c r="H47" i="18524"/>
  <c r="F51" i="18524"/>
  <c r="F47" i="18524"/>
  <c r="N51" i="18524"/>
  <c r="E33" i="18524"/>
  <c r="E49" i="18524" s="1"/>
  <c r="R51" i="18524"/>
  <c r="R47" i="18524"/>
  <c r="B47" i="18524"/>
  <c r="B51" i="18524" s="1"/>
  <c r="Q51" i="18524"/>
  <c r="Q47" i="18524"/>
  <c r="L51" i="18524"/>
  <c r="L47" i="18524"/>
  <c r="O51" i="18524"/>
  <c r="AF47" i="18523"/>
  <c r="I43" i="18523"/>
  <c r="I45" i="18523" s="1"/>
  <c r="I74" i="18523" s="1"/>
  <c r="Z51" i="18523"/>
  <c r="Z47" i="18523"/>
  <c r="BK51" i="18523"/>
  <c r="AM47" i="18523"/>
  <c r="AM51" i="18523"/>
  <c r="AJ51" i="18523"/>
  <c r="AJ47" i="18523"/>
  <c r="AI51" i="18523"/>
  <c r="AI47" i="18523"/>
  <c r="R51" i="18523"/>
  <c r="R47" i="18523"/>
  <c r="AY51" i="18523"/>
  <c r="AY47" i="18523"/>
  <c r="K51" i="18523"/>
  <c r="K47" i="18523"/>
  <c r="AS51" i="18523"/>
  <c r="AS47" i="18523"/>
  <c r="O51" i="18523"/>
  <c r="O47" i="18523"/>
  <c r="U51" i="18523"/>
  <c r="U47" i="18523"/>
  <c r="BB51" i="18523"/>
  <c r="BB47" i="18523"/>
  <c r="Q51" i="18523"/>
  <c r="Q47" i="18523"/>
  <c r="BT51" i="18523"/>
  <c r="BJ51" i="18523"/>
  <c r="N51" i="18523"/>
  <c r="N47" i="18523"/>
  <c r="X51" i="18523"/>
  <c r="X47" i="18523"/>
  <c r="BN51" i="18523"/>
  <c r="H51" i="18523"/>
  <c r="H47" i="18523"/>
  <c r="BP51" i="18523"/>
  <c r="W49" i="18523"/>
  <c r="BA51" i="18523"/>
  <c r="BA47" i="18523"/>
  <c r="F51" i="18523"/>
  <c r="F47" i="18523"/>
  <c r="AU51" i="18523"/>
  <c r="AU47" i="18523"/>
  <c r="AX51" i="18523"/>
  <c r="AX47" i="18523"/>
  <c r="AP51" i="18523"/>
  <c r="AP47" i="18523"/>
  <c r="E47" i="18523"/>
  <c r="E51" i="18523"/>
  <c r="BE51" i="18523"/>
  <c r="BE47" i="18523"/>
  <c r="BM51" i="18523"/>
  <c r="BD51" i="18523"/>
  <c r="BD47" i="18523"/>
  <c r="AO47" i="18523"/>
  <c r="AO51" i="18523"/>
  <c r="BG51" i="18523"/>
  <c r="BG47" i="18523"/>
  <c r="W51" i="18523"/>
  <c r="W47" i="18523"/>
  <c r="AA47" i="18523"/>
  <c r="AA51" i="18523"/>
  <c r="AV51" i="18523"/>
  <c r="AV47" i="18523"/>
  <c r="AL51" i="18523"/>
  <c r="AL47" i="18523"/>
  <c r="BH51" i="18523"/>
  <c r="BH47" i="18523"/>
  <c r="AD51" i="18523"/>
  <c r="AD47" i="18523"/>
  <c r="C51" i="18523"/>
  <c r="C47" i="18523"/>
  <c r="AC47" i="18523"/>
  <c r="AC51" i="18523"/>
  <c r="B51" i="18522"/>
  <c r="B47" i="18522"/>
  <c r="C33" i="18522"/>
  <c r="C49" i="18522" s="1"/>
  <c r="H47" i="18522"/>
  <c r="H51" i="18522" s="1"/>
  <c r="C47" i="18522"/>
  <c r="C51" i="18522"/>
  <c r="F51" i="18522"/>
  <c r="F47" i="18522"/>
  <c r="E43" i="18522"/>
  <c r="E45" i="18522" s="1"/>
  <c r="E74" i="18522" s="1"/>
  <c r="B33" i="18522"/>
  <c r="B49" i="18522" s="1"/>
  <c r="C51" i="18521"/>
  <c r="C47" i="18521"/>
  <c r="D47" i="18521"/>
  <c r="D51" i="18521"/>
  <c r="K51" i="18521"/>
  <c r="K47" i="18521"/>
  <c r="B51" i="18521"/>
  <c r="B47" i="18521"/>
  <c r="J51" i="18521"/>
  <c r="J47" i="18521"/>
  <c r="F47" i="18521"/>
  <c r="F51" i="18521" s="1"/>
  <c r="P52" i="18518"/>
  <c r="O48" i="18518"/>
  <c r="BG47" i="18517"/>
  <c r="K48" i="18518"/>
  <c r="AP51" i="18517"/>
  <c r="BA51" i="18517"/>
  <c r="W51" i="18516"/>
  <c r="F51" i="18519"/>
  <c r="U48" i="18518"/>
  <c r="H48" i="18518"/>
  <c r="AS47" i="18517"/>
  <c r="V52" i="18518"/>
  <c r="T48" i="18518"/>
  <c r="Z48" i="18518"/>
  <c r="Q52" i="18518"/>
  <c r="AD47" i="18517"/>
  <c r="AD47" i="18514"/>
  <c r="B47" i="18519"/>
  <c r="C47" i="18519"/>
  <c r="Z51" i="18517"/>
  <c r="AG47" i="18517"/>
  <c r="M51" i="18517"/>
  <c r="AC47" i="18517"/>
  <c r="T47" i="18517"/>
  <c r="U47" i="18517"/>
  <c r="H51" i="18516"/>
  <c r="L47" i="18516"/>
  <c r="D47" i="18516"/>
  <c r="E47" i="18516"/>
  <c r="V47" i="18514"/>
  <c r="R51" i="18514"/>
  <c r="W47" i="18514"/>
  <c r="T47" i="18514"/>
  <c r="T51" i="18514" s="1"/>
  <c r="M49" i="18514"/>
  <c r="L49" i="18514"/>
  <c r="S51" i="18514"/>
  <c r="G47" i="18514"/>
  <c r="R32" i="1"/>
  <c r="Q32" i="1"/>
  <c r="R40" i="1"/>
  <c r="Q40" i="1"/>
  <c r="R16" i="1"/>
  <c r="R60" i="1" s="1"/>
  <c r="Q16" i="1"/>
  <c r="Q60" i="1" s="1"/>
  <c r="R12" i="1"/>
  <c r="Q12" i="1"/>
  <c r="B16" i="1"/>
  <c r="B12" i="1"/>
  <c r="C40" i="1"/>
  <c r="B51" i="1"/>
  <c r="C32" i="1"/>
  <c r="C16" i="1"/>
  <c r="C12" i="1"/>
  <c r="F40" i="1"/>
  <c r="E40" i="1"/>
  <c r="F32" i="1"/>
  <c r="E32" i="1"/>
  <c r="F16" i="1"/>
  <c r="E16" i="1"/>
  <c r="F12" i="1"/>
  <c r="E12" i="1"/>
  <c r="K51" i="18517" l="1"/>
  <c r="U26" i="18514"/>
  <c r="U47" i="18514"/>
  <c r="U51" i="18514" s="1"/>
  <c r="T68" i="1"/>
  <c r="I47" i="18522"/>
  <c r="I51" i="18522" s="1"/>
  <c r="T58" i="1"/>
  <c r="Q71" i="1"/>
  <c r="U68" i="1"/>
  <c r="E47" i="18524"/>
  <c r="B47" i="18523"/>
  <c r="B61" i="1"/>
  <c r="B60" i="1"/>
  <c r="B63" i="1"/>
  <c r="AD5" i="18525"/>
  <c r="F84" i="1"/>
  <c r="F73" i="1"/>
  <c r="K6" i="18525"/>
  <c r="Q69" i="1"/>
  <c r="Q66" i="1"/>
  <c r="Q65" i="1"/>
  <c r="Z10" i="18525"/>
  <c r="T43" i="1"/>
  <c r="T45" i="1" s="1"/>
  <c r="T74" i="1" s="1"/>
  <c r="T73" i="1"/>
  <c r="T8" i="18525"/>
  <c r="U8" i="18525"/>
  <c r="F62" i="1"/>
  <c r="F71" i="1"/>
  <c r="F80" i="1"/>
  <c r="AI6" i="18525"/>
  <c r="R80" i="1"/>
  <c r="R71" i="1"/>
  <c r="AI10" i="18525"/>
  <c r="E66" i="1"/>
  <c r="E69" i="1"/>
  <c r="E65" i="1"/>
  <c r="Z6" i="18525"/>
  <c r="C69" i="1"/>
  <c r="C66" i="1"/>
  <c r="C78" i="1"/>
  <c r="C65" i="1"/>
  <c r="AA5" i="18525"/>
  <c r="R69" i="1"/>
  <c r="R78" i="1"/>
  <c r="R65" i="1"/>
  <c r="R66" i="1"/>
  <c r="AA10" i="18525"/>
  <c r="Q62" i="1"/>
  <c r="T62" i="1"/>
  <c r="U80" i="1"/>
  <c r="E73" i="1"/>
  <c r="J6" i="18525"/>
  <c r="Q61" i="1"/>
  <c r="Q63" i="1"/>
  <c r="AD10" i="18525"/>
  <c r="E63" i="1"/>
  <c r="E61" i="1"/>
  <c r="E60" i="1"/>
  <c r="AD6" i="18525"/>
  <c r="C62" i="1"/>
  <c r="C80" i="1"/>
  <c r="C71" i="1"/>
  <c r="AI5" i="18525"/>
  <c r="R79" i="1"/>
  <c r="R63" i="1"/>
  <c r="R61" i="1"/>
  <c r="AE10" i="18525"/>
  <c r="R62" i="1"/>
  <c r="U7" i="18525"/>
  <c r="T7" i="18525"/>
  <c r="F69" i="1"/>
  <c r="F78" i="1"/>
  <c r="F65" i="1"/>
  <c r="F66" i="1"/>
  <c r="AA6" i="18525"/>
  <c r="F63" i="1"/>
  <c r="F60" i="1"/>
  <c r="F79" i="1"/>
  <c r="F61" i="1"/>
  <c r="AE6" i="18525"/>
  <c r="Q73" i="1"/>
  <c r="J10" i="18525"/>
  <c r="U62" i="1"/>
  <c r="U58" i="1"/>
  <c r="B66" i="1"/>
  <c r="B65" i="1"/>
  <c r="B69" i="1"/>
  <c r="Z5" i="18525"/>
  <c r="B71" i="1"/>
  <c r="C61" i="1"/>
  <c r="C63" i="1"/>
  <c r="C79" i="1"/>
  <c r="C60" i="1"/>
  <c r="AE5" i="18525"/>
  <c r="E62" i="1"/>
  <c r="E71" i="1"/>
  <c r="AH6" i="18525"/>
  <c r="C73" i="1"/>
  <c r="C84" i="1"/>
  <c r="K5" i="18525"/>
  <c r="R84" i="1"/>
  <c r="R73" i="1"/>
  <c r="K10" i="18525"/>
  <c r="U81" i="1"/>
  <c r="B51" i="18523"/>
  <c r="L69" i="18522"/>
  <c r="L66" i="18522"/>
  <c r="L65" i="18522"/>
  <c r="L78" i="18522"/>
  <c r="L71" i="18522"/>
  <c r="L79" i="18522"/>
  <c r="L63" i="18522"/>
  <c r="L61" i="18522"/>
  <c r="L33" i="18522"/>
  <c r="L49" i="18522" s="1"/>
  <c r="K63" i="18522"/>
  <c r="K61" i="18522"/>
  <c r="K33" i="18522"/>
  <c r="K49" i="18522" s="1"/>
  <c r="L60" i="18522"/>
  <c r="K65" i="18522"/>
  <c r="L73" i="18522"/>
  <c r="L84" i="18522"/>
  <c r="L43" i="18522"/>
  <c r="L45" i="18522" s="1"/>
  <c r="K69" i="18522"/>
  <c r="K74" i="18522"/>
  <c r="K51" i="18522"/>
  <c r="K47" i="18522"/>
  <c r="C52" i="18518"/>
  <c r="AE47" i="18514"/>
  <c r="AE51" i="18514"/>
  <c r="BK64" i="18518"/>
  <c r="BK50" i="18518"/>
  <c r="AA52" i="18518"/>
  <c r="G52" i="18518"/>
  <c r="AQ51" i="18517"/>
  <c r="AG73" i="18524"/>
  <c r="AG84" i="18524"/>
  <c r="AF47" i="18524"/>
  <c r="AF74" i="18524"/>
  <c r="AG63" i="18524"/>
  <c r="AF66" i="18524"/>
  <c r="AF69" i="18524"/>
  <c r="AF65" i="18524"/>
  <c r="AG66" i="18524"/>
  <c r="AG78" i="18524"/>
  <c r="AG69" i="18524"/>
  <c r="AG65" i="18524"/>
  <c r="AF71" i="18524"/>
  <c r="AF63" i="18524"/>
  <c r="G47" i="18521"/>
  <c r="G51" i="18521" s="1"/>
  <c r="T47" i="18523"/>
  <c r="T51" i="18523"/>
  <c r="CI73" i="18523"/>
  <c r="CI84" i="18523"/>
  <c r="I47" i="18523"/>
  <c r="K47" i="18517"/>
  <c r="AQ47" i="18517"/>
  <c r="BB51" i="18517"/>
  <c r="AR51" i="18517"/>
  <c r="C51" i="18517"/>
  <c r="AR47" i="18517"/>
  <c r="C47" i="18517"/>
  <c r="BB47" i="18517"/>
  <c r="CW84" i="18517"/>
  <c r="CW73" i="18517"/>
  <c r="CW80" i="18517"/>
  <c r="CW62" i="18517"/>
  <c r="CW61" i="18517"/>
  <c r="CW65" i="18517"/>
  <c r="CW69" i="18517"/>
  <c r="CW63" i="18517"/>
  <c r="CW71" i="18517"/>
  <c r="CW66" i="18517"/>
  <c r="CV69" i="18517"/>
  <c r="CV66" i="18517"/>
  <c r="CW78" i="18517"/>
  <c r="CV71" i="18517"/>
  <c r="CV65" i="18517"/>
  <c r="CV63" i="18517"/>
  <c r="BW73" i="18514"/>
  <c r="BW84" i="18514"/>
  <c r="BW66" i="18514"/>
  <c r="BW65" i="18514"/>
  <c r="BW63" i="18514"/>
  <c r="BW69" i="18514"/>
  <c r="BV66" i="18514"/>
  <c r="BV65" i="18514"/>
  <c r="BV63" i="18514"/>
  <c r="BW78" i="18514"/>
  <c r="BV69" i="18514"/>
  <c r="I52" i="18518"/>
  <c r="C48" i="18518"/>
  <c r="I48" i="18518"/>
  <c r="BK85" i="18518"/>
  <c r="BK74" i="18518"/>
  <c r="BK79" i="18518"/>
  <c r="BK70" i="18518"/>
  <c r="BK66" i="18518"/>
  <c r="BK67" i="18518"/>
  <c r="AA48" i="18518"/>
  <c r="F52" i="18518"/>
  <c r="F75" i="18518"/>
  <c r="G48" i="18518"/>
  <c r="BK72" i="18518"/>
  <c r="BW84" i="18516"/>
  <c r="BW73" i="18516"/>
  <c r="J47" i="18516"/>
  <c r="J74" i="18516"/>
  <c r="CW33" i="18517"/>
  <c r="CW49" i="18517" s="1"/>
  <c r="BJ47" i="18517"/>
  <c r="BJ48" i="18518"/>
  <c r="BJ52" i="18518"/>
  <c r="Y52" i="18518"/>
  <c r="Y48" i="18518"/>
  <c r="F48" i="18518"/>
  <c r="B51" i="18517"/>
  <c r="CV49" i="18517"/>
  <c r="B47" i="18517"/>
  <c r="I47" i="18517"/>
  <c r="I51" i="18517"/>
  <c r="AH47" i="18517"/>
  <c r="AH51" i="18517"/>
  <c r="BD47" i="18517"/>
  <c r="BD51" i="18517"/>
  <c r="S47" i="18517"/>
  <c r="S51" i="18517"/>
  <c r="AF47" i="18517"/>
  <c r="AF51" i="18517"/>
  <c r="BJ51" i="18517"/>
  <c r="CI43" i="18523"/>
  <c r="CI45" i="18523" s="1"/>
  <c r="D47" i="18514"/>
  <c r="D51" i="18514"/>
  <c r="I51" i="18514"/>
  <c r="E47" i="18514"/>
  <c r="H51" i="18514"/>
  <c r="AB51" i="18514"/>
  <c r="O51" i="18514"/>
  <c r="O47" i="18514"/>
  <c r="E51" i="18514"/>
  <c r="AB47" i="18514"/>
  <c r="H47" i="18514"/>
  <c r="P51" i="18514"/>
  <c r="P47" i="18514"/>
  <c r="I47" i="18514"/>
  <c r="AA51" i="18514"/>
  <c r="AA47" i="18514"/>
  <c r="M47" i="18514"/>
  <c r="M51" i="18514"/>
  <c r="O47" i="18516"/>
  <c r="O51" i="18516"/>
  <c r="N51" i="18516"/>
  <c r="M51" i="18516"/>
  <c r="N47" i="18516"/>
  <c r="J51" i="18516"/>
  <c r="BV43" i="18514"/>
  <c r="BV45" i="18514" s="1"/>
  <c r="BV74" i="18514" s="1"/>
  <c r="T32" i="18514"/>
  <c r="BV32" i="18514"/>
  <c r="BW43" i="18514"/>
  <c r="BW45" i="18514" s="1"/>
  <c r="BW74" i="18514" s="1"/>
  <c r="U32" i="18514"/>
  <c r="BW32" i="18514"/>
  <c r="O43" i="18519"/>
  <c r="O45" i="18519" s="1"/>
  <c r="M47" i="18516"/>
  <c r="AF51" i="18524"/>
  <c r="AF49" i="18524"/>
  <c r="AG43" i="18524"/>
  <c r="AG45" i="18524" s="1"/>
  <c r="AG74" i="18524" s="1"/>
  <c r="AG49" i="18524"/>
  <c r="CH47" i="18523"/>
  <c r="CH51" i="18523"/>
  <c r="BK44" i="18518"/>
  <c r="BK46" i="18518" s="1"/>
  <c r="BK75" i="18518" s="1"/>
  <c r="F7" i="18525"/>
  <c r="F9" i="18525"/>
  <c r="F8" i="18525"/>
  <c r="T47" i="1"/>
  <c r="T16" i="1"/>
  <c r="T60" i="1" s="1"/>
  <c r="U16" i="1"/>
  <c r="AH10" i="18525"/>
  <c r="U76" i="1"/>
  <c r="U12" i="1"/>
  <c r="F6" i="18525"/>
  <c r="E10" i="18525"/>
  <c r="C11" i="18525"/>
  <c r="D10" i="18525"/>
  <c r="F10" i="18525"/>
  <c r="F5" i="18525"/>
  <c r="U40" i="1"/>
  <c r="T76" i="1"/>
  <c r="T12" i="1"/>
  <c r="BV43" i="18516"/>
  <c r="BV45" i="18516" s="1"/>
  <c r="BV74" i="18516" s="1"/>
  <c r="BW43" i="18516"/>
  <c r="BW45" i="18516" s="1"/>
  <c r="BW74" i="18516" s="1"/>
  <c r="CV43" i="18517"/>
  <c r="CV45" i="18517" s="1"/>
  <c r="CV74" i="18517" s="1"/>
  <c r="AI47" i="18517"/>
  <c r="AI51" i="18517" s="1"/>
  <c r="AJ47" i="18517"/>
  <c r="AJ51" i="18517" s="1"/>
  <c r="CW43" i="18517"/>
  <c r="CW45" i="18517" s="1"/>
  <c r="CW74" i="18517" s="1"/>
  <c r="I51" i="18523"/>
  <c r="E47" i="18522"/>
  <c r="E51" i="18522"/>
  <c r="E43" i="1"/>
  <c r="E45" i="1" s="1"/>
  <c r="B33" i="1"/>
  <c r="B49" i="1" s="1"/>
  <c r="F43" i="1"/>
  <c r="F45" i="1" s="1"/>
  <c r="Q43" i="1"/>
  <c r="Q45" i="1" s="1"/>
  <c r="R43" i="1"/>
  <c r="R33" i="1"/>
  <c r="R49" i="1" s="1"/>
  <c r="Q33" i="1"/>
  <c r="Q49" i="1" s="1"/>
  <c r="C43" i="1"/>
  <c r="E33" i="1"/>
  <c r="E49" i="1" s="1"/>
  <c r="C33" i="1"/>
  <c r="C49" i="1" s="1"/>
  <c r="F33" i="1"/>
  <c r="F49" i="1" s="1"/>
  <c r="T51" i="1" l="1"/>
  <c r="AH11" i="18525"/>
  <c r="U61" i="1"/>
  <c r="U79" i="1"/>
  <c r="U63" i="1"/>
  <c r="E74" i="1"/>
  <c r="R6" i="18525"/>
  <c r="T63" i="1"/>
  <c r="T61" i="1"/>
  <c r="U60" i="1"/>
  <c r="T69" i="1"/>
  <c r="T65" i="1"/>
  <c r="T66" i="1"/>
  <c r="T71" i="1"/>
  <c r="F74" i="1"/>
  <c r="S6" i="18525"/>
  <c r="U73" i="1"/>
  <c r="U84" i="1"/>
  <c r="U65" i="1"/>
  <c r="U66" i="1"/>
  <c r="U78" i="1"/>
  <c r="U69" i="1"/>
  <c r="U71" i="1"/>
  <c r="Q74" i="1"/>
  <c r="R10" i="18525"/>
  <c r="L51" i="18522"/>
  <c r="L74" i="18522"/>
  <c r="L47" i="18522"/>
  <c r="T71" i="18514"/>
  <c r="T62" i="18514"/>
  <c r="T61" i="18514"/>
  <c r="U80" i="18514"/>
  <c r="U71" i="18514"/>
  <c r="U62" i="18514"/>
  <c r="U61" i="18514"/>
  <c r="CI47" i="18523"/>
  <c r="CI74" i="18523"/>
  <c r="BV62" i="18514"/>
  <c r="BV61" i="18514"/>
  <c r="BW80" i="18514"/>
  <c r="BW62" i="18514"/>
  <c r="BW61" i="18514"/>
  <c r="BV71" i="18514"/>
  <c r="BW71" i="18514"/>
  <c r="CI51" i="18523"/>
  <c r="BV47" i="18516"/>
  <c r="BV47" i="18514"/>
  <c r="BV51" i="18514"/>
  <c r="BW33" i="18514"/>
  <c r="BW49" i="18514" s="1"/>
  <c r="BW51" i="18514"/>
  <c r="BW47" i="18514"/>
  <c r="BV33" i="18514"/>
  <c r="BV49" i="18514" s="1"/>
  <c r="U33" i="18514"/>
  <c r="U49" i="18514" s="1"/>
  <c r="T33" i="18514"/>
  <c r="T49" i="18514" s="1"/>
  <c r="O51" i="18519"/>
  <c r="O47" i="18519"/>
  <c r="BV51" i="18516"/>
  <c r="AG51" i="18524"/>
  <c r="AG47" i="18524"/>
  <c r="BK52" i="18518"/>
  <c r="BK48" i="18518"/>
  <c r="G9" i="18525"/>
  <c r="I9" i="18525" s="1"/>
  <c r="G8" i="18525"/>
  <c r="I8" i="18525" s="1"/>
  <c r="F11" i="18525"/>
  <c r="AE11" i="18525"/>
  <c r="AF5" i="18525"/>
  <c r="AG5" i="18525"/>
  <c r="L10" i="18525"/>
  <c r="M10" i="18525"/>
  <c r="AJ6" i="18525"/>
  <c r="AK6" i="18525"/>
  <c r="AB10" i="18525"/>
  <c r="AC10" i="18525"/>
  <c r="AL10" i="18525"/>
  <c r="U33" i="1"/>
  <c r="U49" i="1" s="1"/>
  <c r="Z11" i="18525"/>
  <c r="M5" i="18525"/>
  <c r="L5" i="18525"/>
  <c r="AK10" i="18525"/>
  <c r="AJ10" i="18525"/>
  <c r="AF10" i="18525"/>
  <c r="AG10" i="18525"/>
  <c r="AK5" i="18525"/>
  <c r="AI11" i="18525"/>
  <c r="AK11" i="18525" s="1"/>
  <c r="AJ5" i="18525"/>
  <c r="U43" i="1"/>
  <c r="U45" i="1" s="1"/>
  <c r="U74" i="1" s="1"/>
  <c r="AA11" i="18525"/>
  <c r="AB6" i="18525"/>
  <c r="AL6" i="18525"/>
  <c r="AC6" i="18525"/>
  <c r="AC5" i="18525"/>
  <c r="AB5" i="18525"/>
  <c r="AL5" i="18525"/>
  <c r="G7" i="18525"/>
  <c r="G10" i="18525"/>
  <c r="I10" i="18525" s="1"/>
  <c r="E11" i="18525"/>
  <c r="G5" i="18525"/>
  <c r="D11" i="18525"/>
  <c r="G6" i="18525"/>
  <c r="T33" i="1"/>
  <c r="T49" i="1" s="1"/>
  <c r="AG6" i="18525"/>
  <c r="AF6" i="18525"/>
  <c r="AD11" i="18525"/>
  <c r="BW47" i="18516"/>
  <c r="BW51" i="18516"/>
  <c r="CW51" i="18517"/>
  <c r="CW47" i="18517"/>
  <c r="CV51" i="18517"/>
  <c r="CV47" i="18517"/>
  <c r="K11" i="18525"/>
  <c r="J11" i="18525"/>
  <c r="M6" i="18525"/>
  <c r="L6" i="18525"/>
  <c r="Q47" i="1"/>
  <c r="E47" i="1"/>
  <c r="F47" i="1"/>
  <c r="Q51" i="1"/>
  <c r="F51" i="1"/>
  <c r="C45" i="1"/>
  <c r="E51" i="1"/>
  <c r="R45" i="1"/>
  <c r="C29" i="18492"/>
  <c r="C28" i="18492"/>
  <c r="B30" i="18492"/>
  <c r="C21" i="18492"/>
  <c r="C22" i="18492"/>
  <c r="B29" i="18492"/>
  <c r="B22" i="18492"/>
  <c r="B21" i="18492"/>
  <c r="B16" i="18492"/>
  <c r="C35" i="18492"/>
  <c r="D8" i="5"/>
  <c r="D9" i="5" s="1"/>
  <c r="C35" i="18511"/>
  <c r="B29" i="18511"/>
  <c r="C28" i="18511"/>
  <c r="B28" i="18511"/>
  <c r="C25" i="18511"/>
  <c r="B25" i="18511"/>
  <c r="C24" i="18511"/>
  <c r="E24" i="18492" s="1"/>
  <c r="B24" i="18511"/>
  <c r="C23" i="18511"/>
  <c r="B23" i="18511"/>
  <c r="C22" i="18511"/>
  <c r="E22" i="18492"/>
  <c r="B22" i="18511"/>
  <c r="D22" i="18492" s="1"/>
  <c r="C20" i="18511"/>
  <c r="E20" i="18492" s="1"/>
  <c r="B20" i="18511"/>
  <c r="C19" i="18511"/>
  <c r="B19" i="18511"/>
  <c r="C18" i="18511"/>
  <c r="B18" i="18511"/>
  <c r="D18" i="18492"/>
  <c r="C17" i="18511"/>
  <c r="B17" i="18511"/>
  <c r="C16" i="18511"/>
  <c r="B16" i="18511"/>
  <c r="C13" i="18511"/>
  <c r="B13" i="18511"/>
  <c r="C12" i="18511"/>
  <c r="C14" i="18511" s="1"/>
  <c r="B12" i="18511"/>
  <c r="B14" i="18511" s="1"/>
  <c r="B9" i="18512" s="1"/>
  <c r="C10" i="18511"/>
  <c r="C15" i="18512" s="1"/>
  <c r="C9" i="18511"/>
  <c r="C8" i="18511"/>
  <c r="C25" i="18512" s="1"/>
  <c r="B8" i="18511"/>
  <c r="C25" i="3"/>
  <c r="B25" i="3"/>
  <c r="C24" i="3"/>
  <c r="B24" i="3"/>
  <c r="C23" i="3"/>
  <c r="G23" i="18492" s="1"/>
  <c r="B23" i="3"/>
  <c r="F23" i="18492"/>
  <c r="C22" i="3"/>
  <c r="G22" i="18492" s="1"/>
  <c r="B22" i="3"/>
  <c r="F22" i="18492"/>
  <c r="C21" i="3"/>
  <c r="G21" i="18492" s="1"/>
  <c r="B21" i="3"/>
  <c r="C20" i="3"/>
  <c r="B20" i="3"/>
  <c r="C19" i="3"/>
  <c r="G19" i="18492" s="1"/>
  <c r="B19" i="3"/>
  <c r="F19" i="18492"/>
  <c r="C18" i="3"/>
  <c r="B18" i="3"/>
  <c r="F18" i="18492"/>
  <c r="C17" i="3"/>
  <c r="B17" i="3"/>
  <c r="C16" i="3"/>
  <c r="B16" i="3"/>
  <c r="B26" i="3" s="1"/>
  <c r="C13" i="3"/>
  <c r="B13" i="3"/>
  <c r="C12" i="3"/>
  <c r="B12" i="3"/>
  <c r="F12" i="18492" s="1"/>
  <c r="B9" i="3"/>
  <c r="C8" i="3"/>
  <c r="B8" i="3"/>
  <c r="G35" i="3"/>
  <c r="G33" i="3"/>
  <c r="F33" i="3"/>
  <c r="G29" i="3"/>
  <c r="F29" i="3"/>
  <c r="G10" i="3"/>
  <c r="F10" i="3"/>
  <c r="W36" i="3"/>
  <c r="V36" i="3"/>
  <c r="V23" i="18505" s="1"/>
  <c r="Q36" i="3"/>
  <c r="Q23" i="18505"/>
  <c r="P36" i="3"/>
  <c r="BE36" i="3"/>
  <c r="BD36" i="3"/>
  <c r="AW36" i="3"/>
  <c r="AW23" i="18505"/>
  <c r="AV36" i="3"/>
  <c r="AV23" i="18505"/>
  <c r="AE36" i="3"/>
  <c r="AE23" i="18505"/>
  <c r="AD36" i="3"/>
  <c r="O33" i="18511"/>
  <c r="O32" i="18511"/>
  <c r="N32" i="18511"/>
  <c r="N33" i="18511"/>
  <c r="K33" i="18511"/>
  <c r="K32" i="18511"/>
  <c r="K29" i="18511"/>
  <c r="K30" i="18511"/>
  <c r="J33" i="18511"/>
  <c r="J32" i="18511"/>
  <c r="J31" i="18511"/>
  <c r="J34" i="18511" s="1"/>
  <c r="J36" i="18511" s="1"/>
  <c r="J23" i="18512" s="1"/>
  <c r="J30" i="18511"/>
  <c r="I33" i="18511"/>
  <c r="I32" i="18511"/>
  <c r="H32" i="18511"/>
  <c r="H33" i="18511"/>
  <c r="G33" i="18511"/>
  <c r="F33" i="18511"/>
  <c r="E33" i="18511"/>
  <c r="E32" i="18511"/>
  <c r="D32" i="18511"/>
  <c r="D33" i="18511"/>
  <c r="BE31" i="3"/>
  <c r="BD31" i="3"/>
  <c r="BD22" i="18505"/>
  <c r="AW31" i="3"/>
  <c r="AW22" i="18505" s="1"/>
  <c r="AV31" i="3"/>
  <c r="AV22" i="18505" s="1"/>
  <c r="AE31" i="3"/>
  <c r="AE22" i="18505" s="1"/>
  <c r="AD31" i="3"/>
  <c r="W31" i="3"/>
  <c r="W22" i="18505" s="1"/>
  <c r="V31" i="3"/>
  <c r="V22" i="18505" s="1"/>
  <c r="Q31" i="3"/>
  <c r="Q22" i="18505" s="1"/>
  <c r="P31" i="3"/>
  <c r="P22" i="18505" s="1"/>
  <c r="BE26" i="3"/>
  <c r="BE11" i="18505" s="1"/>
  <c r="BD26" i="3"/>
  <c r="AW26" i="3"/>
  <c r="AV26" i="3"/>
  <c r="W26" i="3"/>
  <c r="V26" i="3"/>
  <c r="Q26" i="3"/>
  <c r="P26" i="3"/>
  <c r="P20" i="18505"/>
  <c r="G26" i="3"/>
  <c r="F26" i="3"/>
  <c r="F11" i="18505" s="1"/>
  <c r="BE14" i="3"/>
  <c r="BE27" i="3" s="1"/>
  <c r="BD14" i="3"/>
  <c r="BD27" i="3"/>
  <c r="AW14" i="3"/>
  <c r="AW27" i="3"/>
  <c r="AV14" i="3"/>
  <c r="W14" i="3"/>
  <c r="W10" i="18505" s="1"/>
  <c r="W27" i="3"/>
  <c r="V14" i="3"/>
  <c r="V27" i="3" s="1"/>
  <c r="Q14" i="3"/>
  <c r="Q27" i="3" s="1"/>
  <c r="Q18" i="18505"/>
  <c r="P14" i="3"/>
  <c r="G14" i="3"/>
  <c r="G9" i="18505"/>
  <c r="F14" i="3"/>
  <c r="BE10" i="3"/>
  <c r="BE37" i="3" s="1"/>
  <c r="BD10" i="3"/>
  <c r="AW10" i="3"/>
  <c r="AV10" i="3"/>
  <c r="W10" i="3"/>
  <c r="V10" i="3"/>
  <c r="V37" i="3" s="1"/>
  <c r="Q10" i="3"/>
  <c r="Q15" i="18505"/>
  <c r="Q20" i="18505"/>
  <c r="P10" i="3"/>
  <c r="P15" i="18505"/>
  <c r="P23" i="18505"/>
  <c r="W23" i="18505"/>
  <c r="AD23" i="18505"/>
  <c r="BD23" i="18505"/>
  <c r="BE23" i="18505"/>
  <c r="BX23" i="18505"/>
  <c r="BZ23" i="18505"/>
  <c r="AD22" i="18505"/>
  <c r="BE22" i="18505"/>
  <c r="BX22" i="18505"/>
  <c r="BZ22" i="18505"/>
  <c r="W20" i="18505"/>
  <c r="W18" i="18505"/>
  <c r="D17" i="18505"/>
  <c r="E17" i="18505"/>
  <c r="F17" i="18505"/>
  <c r="G17" i="18505"/>
  <c r="H17" i="18505"/>
  <c r="I17" i="18505"/>
  <c r="J17" i="18505"/>
  <c r="K17" i="18505"/>
  <c r="L17" i="18505"/>
  <c r="M17" i="18505"/>
  <c r="N17" i="18505"/>
  <c r="O17" i="18505"/>
  <c r="P17" i="18505"/>
  <c r="Q17" i="18505"/>
  <c r="R17" i="18505"/>
  <c r="S17" i="18505"/>
  <c r="T17" i="18505"/>
  <c r="U17" i="18505"/>
  <c r="V17" i="18505"/>
  <c r="W17" i="18505"/>
  <c r="X17" i="18505"/>
  <c r="Y17" i="18505"/>
  <c r="Z17" i="18505"/>
  <c r="AA17" i="18505"/>
  <c r="AB17" i="18505"/>
  <c r="AC17" i="18505"/>
  <c r="AD17" i="18505"/>
  <c r="AF17" i="18505"/>
  <c r="AG17" i="18505"/>
  <c r="AH17" i="18505"/>
  <c r="AI17" i="18505"/>
  <c r="AJ17" i="18505"/>
  <c r="AK17" i="18505"/>
  <c r="AL17" i="18505"/>
  <c r="AM17" i="18505"/>
  <c r="AN17" i="18505"/>
  <c r="AO17" i="18505"/>
  <c r="AP17" i="18505"/>
  <c r="AQ17" i="18505"/>
  <c r="AR17" i="18505"/>
  <c r="AS17" i="18505"/>
  <c r="AT17" i="18505"/>
  <c r="AU17" i="18505"/>
  <c r="AV17" i="18505"/>
  <c r="AW17" i="18505"/>
  <c r="AX17" i="18505"/>
  <c r="AY17" i="18505"/>
  <c r="AZ17" i="18505"/>
  <c r="BA17" i="18505"/>
  <c r="BB17" i="18505"/>
  <c r="BC17" i="18505"/>
  <c r="BD17" i="18505"/>
  <c r="BE17" i="18505"/>
  <c r="BF17" i="18505"/>
  <c r="BG17" i="18505"/>
  <c r="BH17" i="18505"/>
  <c r="BI17" i="18505"/>
  <c r="BJ17" i="18505"/>
  <c r="BK17" i="18505"/>
  <c r="BL17" i="18505"/>
  <c r="BM17" i="18505"/>
  <c r="BN17" i="18505"/>
  <c r="BO17" i="18505"/>
  <c r="BP17" i="18505"/>
  <c r="BQ17" i="18505"/>
  <c r="BR17" i="18505"/>
  <c r="BS17" i="18505"/>
  <c r="BT17" i="18505"/>
  <c r="BU17" i="18505"/>
  <c r="BV17" i="18505"/>
  <c r="BW17" i="18505"/>
  <c r="BX17" i="18505"/>
  <c r="BY17" i="18505"/>
  <c r="BZ17" i="18505"/>
  <c r="CA17" i="18505"/>
  <c r="CB17" i="18505"/>
  <c r="CC17" i="18505"/>
  <c r="W15" i="18505"/>
  <c r="AV15" i="18505"/>
  <c r="AZ15" i="18505"/>
  <c r="F15" i="18505"/>
  <c r="V14" i="18505"/>
  <c r="BE14" i="18505"/>
  <c r="Q12" i="18505"/>
  <c r="BZ11" i="18505"/>
  <c r="W11" i="18505"/>
  <c r="V11" i="18505"/>
  <c r="Q11" i="18505"/>
  <c r="P11" i="18505"/>
  <c r="L11" i="18505"/>
  <c r="V10" i="18505"/>
  <c r="BX9" i="18505"/>
  <c r="V9" i="18505"/>
  <c r="Q9" i="18505"/>
  <c r="CC7" i="18505"/>
  <c r="CB7" i="18505"/>
  <c r="CA7" i="18505"/>
  <c r="BZ7" i="18505"/>
  <c r="BY7" i="18505"/>
  <c r="BX7" i="18505"/>
  <c r="BW7" i="18505"/>
  <c r="BV7" i="18505"/>
  <c r="BU7" i="18505"/>
  <c r="BT7" i="18505"/>
  <c r="BS7" i="18505"/>
  <c r="BR7" i="18505"/>
  <c r="BQ7" i="18505"/>
  <c r="BP7" i="18505"/>
  <c r="BO7" i="18505"/>
  <c r="BN7" i="18505"/>
  <c r="BM7" i="18505"/>
  <c r="BL7" i="18505"/>
  <c r="BK7" i="18505"/>
  <c r="BJ7" i="18505"/>
  <c r="BI7" i="18505"/>
  <c r="BH7" i="18505"/>
  <c r="BG7" i="18505"/>
  <c r="BF7" i="18505"/>
  <c r="BE7" i="18505"/>
  <c r="BD7" i="18505"/>
  <c r="BC7" i="18505"/>
  <c r="BB7" i="18505"/>
  <c r="BA7" i="18505"/>
  <c r="AZ7" i="18505"/>
  <c r="AY7" i="18505"/>
  <c r="AX7" i="18505"/>
  <c r="AW7" i="18505"/>
  <c r="AV7" i="18505"/>
  <c r="AU7" i="18505"/>
  <c r="AT7" i="18505"/>
  <c r="AS7" i="18505"/>
  <c r="AR7" i="18505"/>
  <c r="AQ7" i="18505"/>
  <c r="AP7" i="18505"/>
  <c r="AO7" i="18505"/>
  <c r="AN7" i="18505"/>
  <c r="AM7" i="18505"/>
  <c r="AL7" i="18505"/>
  <c r="AK7" i="18505"/>
  <c r="AJ7" i="18505"/>
  <c r="AI7" i="18505"/>
  <c r="AH7" i="18505"/>
  <c r="AG7" i="18505"/>
  <c r="AF7" i="18505"/>
  <c r="AE7" i="18505"/>
  <c r="AD7" i="18505"/>
  <c r="AC7" i="18505"/>
  <c r="AB7" i="18505"/>
  <c r="AA7" i="18505"/>
  <c r="Z7" i="18505"/>
  <c r="Y7" i="18505"/>
  <c r="X7" i="18505"/>
  <c r="W7" i="18505"/>
  <c r="V7" i="18505"/>
  <c r="U7" i="18505"/>
  <c r="T7" i="18505"/>
  <c r="S7" i="18505"/>
  <c r="R7" i="18505"/>
  <c r="Q7" i="18505"/>
  <c r="P7" i="18505"/>
  <c r="O7" i="18505"/>
  <c r="N7" i="18505"/>
  <c r="M7" i="18505"/>
  <c r="L7" i="18505"/>
  <c r="K7" i="18505"/>
  <c r="I7" i="18505"/>
  <c r="H7" i="18505"/>
  <c r="G7" i="18505"/>
  <c r="F7" i="18505"/>
  <c r="E7" i="18505"/>
  <c r="D7" i="18505"/>
  <c r="J7" i="18505"/>
  <c r="BE9" i="18505"/>
  <c r="BE10" i="18505"/>
  <c r="BD14" i="18505"/>
  <c r="BD12" i="18505"/>
  <c r="AW10" i="18505"/>
  <c r="AV9" i="18505"/>
  <c r="W14" i="18505"/>
  <c r="V12" i="18505"/>
  <c r="Q10" i="18505"/>
  <c r="BE15" i="18505"/>
  <c r="BE18" i="18505"/>
  <c r="BD15" i="18505"/>
  <c r="AV18" i="18505"/>
  <c r="AV14" i="18505"/>
  <c r="AV12" i="18505"/>
  <c r="V20" i="18505"/>
  <c r="V15" i="18505"/>
  <c r="V18" i="18505"/>
  <c r="Q14" i="18505"/>
  <c r="BW30" i="3"/>
  <c r="BW33" i="3"/>
  <c r="BW28" i="3"/>
  <c r="BW31" i="3" s="1"/>
  <c r="BV33" i="3"/>
  <c r="BV34" i="3"/>
  <c r="BV30" i="3"/>
  <c r="BV31" i="3" s="1"/>
  <c r="BV22" i="18505" s="1"/>
  <c r="BV28" i="3"/>
  <c r="BW10" i="3"/>
  <c r="BW18" i="18505" s="1"/>
  <c r="BV10" i="3"/>
  <c r="E8" i="5"/>
  <c r="B9" i="5"/>
  <c r="E9" i="5"/>
  <c r="E7" i="5"/>
  <c r="E6" i="5"/>
  <c r="F11" i="18492"/>
  <c r="G11" i="18492"/>
  <c r="F15" i="18492"/>
  <c r="G15" i="18492"/>
  <c r="F25" i="18492"/>
  <c r="E9" i="18492"/>
  <c r="D11" i="18492"/>
  <c r="E11" i="18492"/>
  <c r="D12" i="18492"/>
  <c r="E12" i="18492"/>
  <c r="D13" i="18492"/>
  <c r="D14" i="18492"/>
  <c r="E13" i="18492"/>
  <c r="D15" i="18492"/>
  <c r="E15" i="18492"/>
  <c r="E16" i="18492"/>
  <c r="D17" i="18492"/>
  <c r="E17" i="18492"/>
  <c r="D19" i="18492"/>
  <c r="E19" i="18492"/>
  <c r="D20" i="18492"/>
  <c r="D23" i="18492"/>
  <c r="E23" i="18492"/>
  <c r="D24" i="18492"/>
  <c r="D25" i="18492"/>
  <c r="E25" i="18492"/>
  <c r="E8" i="18492"/>
  <c r="D8" i="18492"/>
  <c r="D7" i="18501" s="1"/>
  <c r="BZ10" i="3"/>
  <c r="BZ26" i="3"/>
  <c r="BZ14" i="3"/>
  <c r="BZ10" i="18505" s="1"/>
  <c r="BX26" i="3"/>
  <c r="BX11" i="18505" s="1"/>
  <c r="BX10" i="3"/>
  <c r="AZ32" i="3"/>
  <c r="BA32" i="3"/>
  <c r="BA30" i="3"/>
  <c r="BA31" i="3"/>
  <c r="AZ30" i="3"/>
  <c r="AZ31" i="3"/>
  <c r="AZ10" i="3"/>
  <c r="AZ14" i="3"/>
  <c r="AZ12" i="18505" s="1"/>
  <c r="AZ26" i="3"/>
  <c r="AZ20" i="18505"/>
  <c r="AD26" i="3"/>
  <c r="B17" i="18492"/>
  <c r="B18" i="18492"/>
  <c r="B20" i="18492"/>
  <c r="B23" i="18492"/>
  <c r="B24" i="18492"/>
  <c r="B25" i="18492"/>
  <c r="G25" i="18492"/>
  <c r="G24" i="18492"/>
  <c r="F21" i="18492"/>
  <c r="F23" i="18501" s="1"/>
  <c r="G20" i="18492"/>
  <c r="F20" i="18492"/>
  <c r="G17" i="18492"/>
  <c r="F17" i="18492"/>
  <c r="G16" i="18492"/>
  <c r="F13" i="18492"/>
  <c r="G13" i="18492"/>
  <c r="F8" i="18492"/>
  <c r="D25" i="18505"/>
  <c r="E25" i="18505"/>
  <c r="F25" i="18505"/>
  <c r="G25" i="18505"/>
  <c r="H25" i="18505"/>
  <c r="I25" i="18505"/>
  <c r="J25" i="18505"/>
  <c r="K25" i="18505"/>
  <c r="L25" i="18505"/>
  <c r="M25" i="18505"/>
  <c r="N25" i="18505"/>
  <c r="O25" i="18505"/>
  <c r="P25" i="18505"/>
  <c r="Q25" i="18505"/>
  <c r="R25" i="18505"/>
  <c r="S25" i="18505"/>
  <c r="T25" i="18505"/>
  <c r="U25" i="18505"/>
  <c r="V25" i="18505"/>
  <c r="W25" i="18505"/>
  <c r="X25" i="18505"/>
  <c r="Y25" i="18505"/>
  <c r="Z25" i="18505"/>
  <c r="AA25" i="18505"/>
  <c r="AB25" i="18505"/>
  <c r="AC25" i="18505"/>
  <c r="AD25" i="18505"/>
  <c r="AE25" i="18505"/>
  <c r="AF25" i="18505"/>
  <c r="AG25" i="18505"/>
  <c r="AH25" i="18505"/>
  <c r="AI25" i="18505"/>
  <c r="AJ25" i="18505"/>
  <c r="AK25" i="18505"/>
  <c r="AL25" i="18505"/>
  <c r="AM25" i="18505"/>
  <c r="AN25" i="18505"/>
  <c r="AO25" i="18505"/>
  <c r="AP25" i="18505"/>
  <c r="AQ25" i="18505"/>
  <c r="AR25" i="18505"/>
  <c r="AS25" i="18505"/>
  <c r="AT25" i="18505"/>
  <c r="AU25" i="18505"/>
  <c r="AV25" i="18505"/>
  <c r="AW25" i="18505"/>
  <c r="AX25" i="18505"/>
  <c r="AY25" i="18505"/>
  <c r="AZ25" i="18505"/>
  <c r="BA25" i="18505"/>
  <c r="BB25" i="18505"/>
  <c r="BC25" i="18505"/>
  <c r="BD25" i="18505"/>
  <c r="BE25" i="18505"/>
  <c r="BF25" i="18505"/>
  <c r="BG25" i="18505"/>
  <c r="BH25" i="18505"/>
  <c r="BI25" i="18505"/>
  <c r="BJ25" i="18505"/>
  <c r="BK25" i="18505"/>
  <c r="BL25" i="18505"/>
  <c r="BM25" i="18505"/>
  <c r="BN25" i="18505"/>
  <c r="BO25" i="18505"/>
  <c r="BQ25" i="18505"/>
  <c r="BR25" i="18505"/>
  <c r="BS25" i="18505"/>
  <c r="BT25" i="18505"/>
  <c r="BU25" i="18505"/>
  <c r="BV25" i="18505"/>
  <c r="BW25" i="18505"/>
  <c r="BX25" i="18505"/>
  <c r="BY25" i="18505"/>
  <c r="BZ25" i="18505"/>
  <c r="CA25" i="18505"/>
  <c r="CB25" i="18505"/>
  <c r="CC25" i="18505"/>
  <c r="D25" i="18512"/>
  <c r="E25" i="18512"/>
  <c r="F25" i="18512"/>
  <c r="G25" i="18512"/>
  <c r="H25" i="18512"/>
  <c r="I25" i="18512"/>
  <c r="J25" i="18512"/>
  <c r="K25" i="18512"/>
  <c r="L25" i="18512"/>
  <c r="M25" i="18512"/>
  <c r="N25" i="18512"/>
  <c r="O25" i="18512"/>
  <c r="B25" i="18512"/>
  <c r="D23" i="18512"/>
  <c r="E23" i="18512"/>
  <c r="F23" i="18512"/>
  <c r="G23" i="18512"/>
  <c r="H23" i="18512"/>
  <c r="I23" i="18512"/>
  <c r="K23" i="18512"/>
  <c r="N23" i="18512"/>
  <c r="O23" i="18512"/>
  <c r="C17" i="18512"/>
  <c r="E17" i="18512"/>
  <c r="F17" i="18512"/>
  <c r="G17" i="18512"/>
  <c r="H17" i="18512"/>
  <c r="I17" i="18512"/>
  <c r="J17" i="18512"/>
  <c r="K17" i="18512"/>
  <c r="L17" i="18512"/>
  <c r="M17" i="18512"/>
  <c r="N17" i="18512"/>
  <c r="O17" i="18512"/>
  <c r="D15" i="18512"/>
  <c r="G12" i="18512"/>
  <c r="C9" i="18512"/>
  <c r="C7" i="18512"/>
  <c r="D7" i="18512"/>
  <c r="E7" i="18512"/>
  <c r="F7" i="18512"/>
  <c r="G7" i="18512"/>
  <c r="H7" i="18512"/>
  <c r="I7" i="18512"/>
  <c r="J7" i="18512"/>
  <c r="K7" i="18512"/>
  <c r="L7" i="18512"/>
  <c r="M7" i="18512"/>
  <c r="N7" i="18512"/>
  <c r="O7" i="18512"/>
  <c r="CC32" i="3"/>
  <c r="CC33" i="3"/>
  <c r="CB32" i="3"/>
  <c r="CB34" i="3" s="1"/>
  <c r="CB36" i="3" s="1"/>
  <c r="CB23" i="18505" s="1"/>
  <c r="CB33" i="3"/>
  <c r="BV26" i="3"/>
  <c r="BU26" i="3"/>
  <c r="BS33" i="3"/>
  <c r="BS32" i="3"/>
  <c r="BR33" i="3"/>
  <c r="BR32" i="3"/>
  <c r="BQ10" i="3"/>
  <c r="BQ15" i="18505" s="1"/>
  <c r="BP10" i="3"/>
  <c r="BN26" i="3"/>
  <c r="CC31" i="3"/>
  <c r="CB31" i="3"/>
  <c r="CA31" i="3"/>
  <c r="BY31" i="3"/>
  <c r="BY22" i="18505"/>
  <c r="BU31" i="3"/>
  <c r="BT31" i="3"/>
  <c r="BS31" i="3"/>
  <c r="BS22" i="18505" s="1"/>
  <c r="BR31" i="3"/>
  <c r="BR34" i="3" s="1"/>
  <c r="BR36" i="3" s="1"/>
  <c r="BR23" i="18505" s="1"/>
  <c r="BQ31" i="3"/>
  <c r="BQ22" i="18505"/>
  <c r="BP31" i="3"/>
  <c r="BP22" i="18505"/>
  <c r="BO31" i="3"/>
  <c r="BO22" i="18505" s="1"/>
  <c r="BO34" i="3"/>
  <c r="BO36" i="3"/>
  <c r="BO23" i="18505" s="1"/>
  <c r="BN31" i="3"/>
  <c r="CC26" i="3"/>
  <c r="CC20" i="18505"/>
  <c r="CB26" i="3"/>
  <c r="CA26" i="3"/>
  <c r="CA11" i="18505" s="1"/>
  <c r="BY26" i="3"/>
  <c r="BY11" i="18505" s="1"/>
  <c r="BW26" i="3"/>
  <c r="BT26" i="3"/>
  <c r="BS26" i="3"/>
  <c r="BS27" i="3"/>
  <c r="BR26" i="3"/>
  <c r="BQ26" i="3"/>
  <c r="BQ11" i="18505" s="1"/>
  <c r="BO26" i="3"/>
  <c r="BO20" i="18505" s="1"/>
  <c r="CC14" i="3"/>
  <c r="CC9" i="18505" s="1"/>
  <c r="CC10" i="18505"/>
  <c r="CB14" i="3"/>
  <c r="CA14" i="3"/>
  <c r="BY14" i="3"/>
  <c r="BY27" i="3" s="1"/>
  <c r="BW14" i="3"/>
  <c r="BV14" i="3"/>
  <c r="BU14" i="3"/>
  <c r="BU9" i="18505" s="1"/>
  <c r="BU10" i="18505"/>
  <c r="BT14" i="3"/>
  <c r="BT27" i="3" s="1"/>
  <c r="BS14" i="3"/>
  <c r="BS9" i="18505" s="1"/>
  <c r="BR14" i="3"/>
  <c r="BQ14" i="3"/>
  <c r="BO14" i="3"/>
  <c r="BN14" i="3"/>
  <c r="CC10" i="3"/>
  <c r="CC18" i="18505" s="1"/>
  <c r="CC15" i="18505"/>
  <c r="CB10" i="3"/>
  <c r="CA10" i="3"/>
  <c r="CA12" i="18505" s="1"/>
  <c r="CA18" i="18505"/>
  <c r="BY10" i="3"/>
  <c r="BY15" i="18505" s="1"/>
  <c r="BU10" i="3"/>
  <c r="BT10" i="3"/>
  <c r="BT14" i="18505" s="1"/>
  <c r="BS10" i="3"/>
  <c r="BS37" i="3" s="1"/>
  <c r="BR10" i="3"/>
  <c r="BR15" i="18505" s="1"/>
  <c r="BO10" i="3"/>
  <c r="BN10" i="3"/>
  <c r="BM33" i="3"/>
  <c r="BM32" i="3"/>
  <c r="BM28" i="3"/>
  <c r="BM31" i="3"/>
  <c r="BL33" i="3"/>
  <c r="BL32" i="3"/>
  <c r="BL28" i="3"/>
  <c r="BL31" i="3"/>
  <c r="BL22" i="18505" s="1"/>
  <c r="BM26" i="3"/>
  <c r="BL26" i="3"/>
  <c r="BM14" i="3"/>
  <c r="BL14" i="3"/>
  <c r="BL10" i="18505" s="1"/>
  <c r="BM10" i="3"/>
  <c r="BM15" i="18505"/>
  <c r="BL10" i="3"/>
  <c r="BK33" i="3"/>
  <c r="BK31" i="3"/>
  <c r="BK22" i="18505" s="1"/>
  <c r="BJ33" i="3"/>
  <c r="BJ31" i="3"/>
  <c r="BK26" i="3"/>
  <c r="BK11" i="18505"/>
  <c r="BJ26" i="3"/>
  <c r="BK14" i="3"/>
  <c r="BK9" i="18505" s="1"/>
  <c r="BK12" i="18505"/>
  <c r="BJ14" i="3"/>
  <c r="BJ27" i="3"/>
  <c r="BK10" i="3"/>
  <c r="BJ10" i="3"/>
  <c r="BI33" i="3"/>
  <c r="BI32" i="3"/>
  <c r="BH33" i="3"/>
  <c r="BH32" i="3"/>
  <c r="BH34" i="3" s="1"/>
  <c r="BH31" i="3"/>
  <c r="BH22" i="18505"/>
  <c r="BI31" i="3"/>
  <c r="BI22" i="18505"/>
  <c r="BI26" i="3"/>
  <c r="BI10" i="18505" s="1"/>
  <c r="BH26" i="3"/>
  <c r="BH20" i="18505"/>
  <c r="BI14" i="3"/>
  <c r="BI9" i="18505" s="1"/>
  <c r="BI12" i="18505"/>
  <c r="BH14" i="3"/>
  <c r="BI10" i="3"/>
  <c r="BH10" i="3"/>
  <c r="BG35" i="3"/>
  <c r="BF35" i="3"/>
  <c r="BG31" i="3"/>
  <c r="BF31" i="3"/>
  <c r="BF22" i="18505"/>
  <c r="BG26" i="3"/>
  <c r="BG11" i="18505"/>
  <c r="BF26" i="3"/>
  <c r="BF20" i="18505" s="1"/>
  <c r="BG14" i="3"/>
  <c r="BG27" i="3"/>
  <c r="BF14" i="3"/>
  <c r="BF18" i="18505"/>
  <c r="BG10" i="3"/>
  <c r="BF10" i="3"/>
  <c r="BC32" i="3"/>
  <c r="BC30" i="3"/>
  <c r="BC31" i="3"/>
  <c r="BC34" i="3" s="1"/>
  <c r="BC36" i="3" s="1"/>
  <c r="BC23" i="18505" s="1"/>
  <c r="BC22" i="18505"/>
  <c r="BB32" i="3"/>
  <c r="BB30" i="3"/>
  <c r="BB31" i="3" s="1"/>
  <c r="BB22" i="18505" s="1"/>
  <c r="BC26" i="3"/>
  <c r="BB26" i="3"/>
  <c r="BC14" i="3"/>
  <c r="BC9" i="18505" s="1"/>
  <c r="BB14" i="3"/>
  <c r="BB9" i="18505" s="1"/>
  <c r="BB10" i="18505"/>
  <c r="BC10" i="3"/>
  <c r="BC15" i="18505"/>
  <c r="BB10" i="3"/>
  <c r="BB14" i="18505" s="1"/>
  <c r="AX34" i="3"/>
  <c r="AX36" i="3"/>
  <c r="AX23" i="18505" s="1"/>
  <c r="AY31" i="3"/>
  <c r="AY34" i="3" s="1"/>
  <c r="AY36" i="3" s="1"/>
  <c r="AY23" i="18505" s="1"/>
  <c r="AY22" i="18505"/>
  <c r="AX31" i="3"/>
  <c r="AX22" i="18505"/>
  <c r="BA26" i="3"/>
  <c r="AY26" i="3"/>
  <c r="AY11" i="18505" s="1"/>
  <c r="BA14" i="3"/>
  <c r="BA10" i="3"/>
  <c r="AX26" i="3"/>
  <c r="AY14" i="3"/>
  <c r="AY9" i="18505"/>
  <c r="AX14" i="3"/>
  <c r="AY10" i="3"/>
  <c r="AY15" i="18505" s="1"/>
  <c r="AX10" i="3"/>
  <c r="AU35" i="3"/>
  <c r="AT35" i="3"/>
  <c r="B35" i="3" s="1"/>
  <c r="F35" i="18492" s="1"/>
  <c r="AU33" i="3"/>
  <c r="AU32" i="3"/>
  <c r="AU31" i="3"/>
  <c r="AU34" i="3" s="1"/>
  <c r="AU22" i="18505"/>
  <c r="AT33" i="3"/>
  <c r="AT32" i="3"/>
  <c r="AT34" i="3"/>
  <c r="AI31" i="3"/>
  <c r="AI22" i="18505"/>
  <c r="AI34" i="3"/>
  <c r="AI36" i="3" s="1"/>
  <c r="AI23" i="18505" s="1"/>
  <c r="AH31" i="3"/>
  <c r="AI26" i="3"/>
  <c r="AI11" i="18505" s="1"/>
  <c r="AH26" i="3"/>
  <c r="AI14" i="3"/>
  <c r="AI12" i="18505" s="1"/>
  <c r="AH14" i="3"/>
  <c r="AI10" i="3"/>
  <c r="AI15" i="18505" s="1"/>
  <c r="AH10" i="3"/>
  <c r="AT31" i="3"/>
  <c r="AT22" i="18505" s="1"/>
  <c r="AU26" i="3"/>
  <c r="AU11" i="18505" s="1"/>
  <c r="AT26" i="3"/>
  <c r="AT11" i="18505" s="1"/>
  <c r="AU14" i="3"/>
  <c r="AT14" i="3"/>
  <c r="AT9" i="18505" s="1"/>
  <c r="AU10" i="3"/>
  <c r="AT10" i="3"/>
  <c r="AT18" i="18505"/>
  <c r="AS33" i="3"/>
  <c r="AS32" i="3"/>
  <c r="AR32" i="3"/>
  <c r="AR33" i="3"/>
  <c r="AS31" i="3"/>
  <c r="AS22" i="18505" s="1"/>
  <c r="AR31" i="3"/>
  <c r="AR22" i="18505" s="1"/>
  <c r="AS26" i="3"/>
  <c r="AR26" i="3"/>
  <c r="AS14" i="3"/>
  <c r="AS9" i="18505" s="1"/>
  <c r="AR14" i="3"/>
  <c r="AS10" i="3"/>
  <c r="AR10" i="3"/>
  <c r="AQ30" i="3"/>
  <c r="AQ31" i="3"/>
  <c r="AQ22" i="18505"/>
  <c r="AP30" i="3"/>
  <c r="AP31" i="3"/>
  <c r="AP22" i="18505"/>
  <c r="AQ26" i="3"/>
  <c r="AP26" i="3"/>
  <c r="AQ14" i="3"/>
  <c r="AQ10" i="3"/>
  <c r="AQ20" i="18505" s="1"/>
  <c r="AP14" i="3"/>
  <c r="AP10" i="3"/>
  <c r="AO35" i="3"/>
  <c r="AN35" i="3"/>
  <c r="AO31" i="3"/>
  <c r="AO22" i="18505"/>
  <c r="AN31" i="3"/>
  <c r="AO26" i="3"/>
  <c r="AN26" i="3"/>
  <c r="AN11" i="18505"/>
  <c r="AO14" i="3"/>
  <c r="AN14" i="3"/>
  <c r="AN27" i="3"/>
  <c r="AO10" i="3"/>
  <c r="AO12" i="18505" s="1"/>
  <c r="AN10" i="3"/>
  <c r="AM35" i="3"/>
  <c r="AM33" i="3"/>
  <c r="AM34" i="3" s="1"/>
  <c r="AM36" i="3" s="1"/>
  <c r="AM23" i="18505" s="1"/>
  <c r="AL35" i="3"/>
  <c r="AL33" i="3"/>
  <c r="AM31" i="3"/>
  <c r="AM22" i="18505"/>
  <c r="AL31" i="3"/>
  <c r="AM10" i="3"/>
  <c r="AM26" i="3"/>
  <c r="AL26" i="3"/>
  <c r="AL11" i="18505"/>
  <c r="AM14" i="3"/>
  <c r="AM10" i="18505"/>
  <c r="AL14" i="3"/>
  <c r="AL9" i="18505" s="1"/>
  <c r="AL10" i="3"/>
  <c r="AK30" i="3"/>
  <c r="AK31" i="3"/>
  <c r="AK22" i="18505" s="1"/>
  <c r="AJ30" i="3"/>
  <c r="AJ31" i="3"/>
  <c r="AJ22" i="18505" s="1"/>
  <c r="AJ26" i="3"/>
  <c r="AK26" i="3"/>
  <c r="AK14" i="3"/>
  <c r="AJ14" i="3"/>
  <c r="AJ10" i="18505" s="1"/>
  <c r="AK10" i="3"/>
  <c r="AK14" i="18505"/>
  <c r="AJ10" i="3"/>
  <c r="AG35" i="3"/>
  <c r="AG32" i="3"/>
  <c r="AG31" i="3"/>
  <c r="AG34" i="3" s="1"/>
  <c r="AG36" i="3" s="1"/>
  <c r="AG22" i="18505"/>
  <c r="AG23" i="18505"/>
  <c r="AF35" i="3"/>
  <c r="AF32" i="3"/>
  <c r="AF31" i="3"/>
  <c r="AF22" i="18505" s="1"/>
  <c r="AF26" i="3"/>
  <c r="AF11" i="18505"/>
  <c r="AG26" i="3"/>
  <c r="AF14" i="3"/>
  <c r="AG14" i="3"/>
  <c r="AF10" i="3"/>
  <c r="AG10" i="3"/>
  <c r="AE26" i="3"/>
  <c r="AE11" i="18505" s="1"/>
  <c r="AD14" i="3"/>
  <c r="Z31" i="3"/>
  <c r="AA31" i="3"/>
  <c r="AA22" i="18505"/>
  <c r="AA26" i="3"/>
  <c r="AA11" i="18505"/>
  <c r="Z26" i="3"/>
  <c r="AA14" i="3"/>
  <c r="AA9" i="18505"/>
  <c r="Z14" i="3"/>
  <c r="Z27" i="3" s="1"/>
  <c r="Z9" i="18505"/>
  <c r="AA10" i="3"/>
  <c r="Z10" i="3"/>
  <c r="AE14" i="3"/>
  <c r="AE9" i="3"/>
  <c r="AE17" i="18505"/>
  <c r="AD10" i="3"/>
  <c r="AC31" i="3"/>
  <c r="AC22" i="18505" s="1"/>
  <c r="AB31" i="3"/>
  <c r="AB34" i="3" s="1"/>
  <c r="AB36" i="3" s="1"/>
  <c r="AB23" i="18505" s="1"/>
  <c r="AC26" i="3"/>
  <c r="AC14" i="3"/>
  <c r="AC9" i="18505" s="1"/>
  <c r="AB26" i="3"/>
  <c r="AB14" i="3"/>
  <c r="AB27" i="3" s="1"/>
  <c r="AC10" i="3"/>
  <c r="AB10" i="3"/>
  <c r="AB15" i="18505" s="1"/>
  <c r="Y30" i="3"/>
  <c r="Y31" i="3"/>
  <c r="Y22" i="18505" s="1"/>
  <c r="X30" i="3"/>
  <c r="X31" i="3"/>
  <c r="X22" i="18505" s="1"/>
  <c r="Y26" i="3"/>
  <c r="X26" i="3"/>
  <c r="X10" i="18505"/>
  <c r="Y14" i="3"/>
  <c r="Y10" i="18505" s="1"/>
  <c r="X14" i="3"/>
  <c r="X12" i="18505"/>
  <c r="Y10" i="3"/>
  <c r="X10" i="3"/>
  <c r="O31" i="3"/>
  <c r="O22" i="18505"/>
  <c r="O34" i="3"/>
  <c r="O36" i="3" s="1"/>
  <c r="O23" i="18505" s="1"/>
  <c r="N31" i="3"/>
  <c r="O26" i="3"/>
  <c r="N26" i="3"/>
  <c r="O14" i="3"/>
  <c r="N14" i="3"/>
  <c r="O10" i="3"/>
  <c r="N10" i="3"/>
  <c r="U31" i="3"/>
  <c r="U22" i="18505"/>
  <c r="T31" i="3"/>
  <c r="T22" i="18505"/>
  <c r="U26" i="3"/>
  <c r="U11" i="18505" s="1"/>
  <c r="T26" i="3"/>
  <c r="U10" i="3"/>
  <c r="U14" i="3"/>
  <c r="U9" i="18505" s="1"/>
  <c r="T14" i="3"/>
  <c r="T10" i="3"/>
  <c r="T20" i="18505" s="1"/>
  <c r="S28" i="3"/>
  <c r="C28" i="3" s="1"/>
  <c r="G28" i="18492" s="1"/>
  <c r="R28" i="3"/>
  <c r="S26" i="3"/>
  <c r="R26" i="3"/>
  <c r="S14" i="3"/>
  <c r="S12" i="18505" s="1"/>
  <c r="R14" i="3"/>
  <c r="R27" i="3" s="1"/>
  <c r="S10" i="3"/>
  <c r="R10" i="3"/>
  <c r="C25" i="18492"/>
  <c r="C24" i="18492"/>
  <c r="C23" i="18492"/>
  <c r="C20" i="18492"/>
  <c r="C19" i="18492"/>
  <c r="C17" i="18492"/>
  <c r="L26" i="3"/>
  <c r="L10" i="3"/>
  <c r="M31" i="3"/>
  <c r="M22" i="18505" s="1"/>
  <c r="M26" i="3"/>
  <c r="M20" i="18505" s="1"/>
  <c r="M14" i="3"/>
  <c r="M9" i="18505"/>
  <c r="M10" i="3"/>
  <c r="L31" i="3"/>
  <c r="L22" i="18505"/>
  <c r="L14" i="3"/>
  <c r="L9" i="18505" s="1"/>
  <c r="L10" i="18505"/>
  <c r="K30" i="3"/>
  <c r="K31" i="3"/>
  <c r="K22" i="18505"/>
  <c r="K32" i="3"/>
  <c r="J30" i="3"/>
  <c r="J31" i="3"/>
  <c r="J22" i="18505" s="1"/>
  <c r="J32" i="3"/>
  <c r="K26" i="3"/>
  <c r="K11" i="18505" s="1"/>
  <c r="J26" i="3"/>
  <c r="K14" i="3"/>
  <c r="K27" i="3"/>
  <c r="J14" i="3"/>
  <c r="K10" i="3"/>
  <c r="K15" i="18505" s="1"/>
  <c r="J10" i="3"/>
  <c r="J15" i="18505" s="1"/>
  <c r="I33" i="3"/>
  <c r="H33" i="3"/>
  <c r="I31" i="3"/>
  <c r="I22" i="18505"/>
  <c r="H31" i="3"/>
  <c r="H22" i="18505" s="1"/>
  <c r="I26" i="3"/>
  <c r="H26" i="3"/>
  <c r="H11" i="18505"/>
  <c r="I14" i="3"/>
  <c r="H14" i="3"/>
  <c r="H10" i="18505"/>
  <c r="I10" i="3"/>
  <c r="I15" i="18505" s="1"/>
  <c r="H10" i="3"/>
  <c r="E31" i="3"/>
  <c r="D30" i="3"/>
  <c r="D31" i="3" s="1"/>
  <c r="B30" i="3"/>
  <c r="E26" i="3"/>
  <c r="D26" i="3"/>
  <c r="E14" i="3"/>
  <c r="E9" i="18505" s="1"/>
  <c r="D14" i="3"/>
  <c r="D9" i="18505"/>
  <c r="E10" i="3"/>
  <c r="D10" i="3"/>
  <c r="D38" i="18511"/>
  <c r="E35" i="18492"/>
  <c r="D30" i="18492"/>
  <c r="D29" i="18492"/>
  <c r="M33" i="18511"/>
  <c r="M32" i="18511"/>
  <c r="C32" i="18511" s="1"/>
  <c r="E32" i="18492" s="1"/>
  <c r="M30" i="18511"/>
  <c r="L30" i="18511"/>
  <c r="B30" i="18511" s="1"/>
  <c r="L33" i="18511"/>
  <c r="L32" i="18511"/>
  <c r="B32" i="18511" s="1"/>
  <c r="D32" i="18492" s="1"/>
  <c r="M14" i="18511"/>
  <c r="M9" i="18512" s="1"/>
  <c r="B35" i="18492"/>
  <c r="B28" i="18492"/>
  <c r="L38" i="18511"/>
  <c r="L14" i="18511"/>
  <c r="L10" i="18512" s="1"/>
  <c r="M10" i="18511"/>
  <c r="L10" i="18511"/>
  <c r="L15" i="18512" s="1"/>
  <c r="G31" i="18511"/>
  <c r="G34" i="18511" s="1"/>
  <c r="G22" i="18512"/>
  <c r="M31" i="18511"/>
  <c r="M34" i="18511" s="1"/>
  <c r="M36" i="18511" s="1"/>
  <c r="M23" i="18512" s="1"/>
  <c r="M22" i="18512"/>
  <c r="M26" i="18511"/>
  <c r="L26" i="18511"/>
  <c r="L20" i="18512" s="1"/>
  <c r="N21" i="18511"/>
  <c r="N26" i="18511"/>
  <c r="K21" i="18511"/>
  <c r="K26" i="18511"/>
  <c r="J21" i="18511"/>
  <c r="J26" i="18511" s="1"/>
  <c r="H21" i="18511"/>
  <c r="H26" i="18511"/>
  <c r="H27" i="18511" s="1"/>
  <c r="H39" i="18511" s="1"/>
  <c r="H31" i="18511"/>
  <c r="I31" i="18511"/>
  <c r="I34" i="18511"/>
  <c r="N31" i="18511"/>
  <c r="N34" i="18511" s="1"/>
  <c r="N22" i="18512"/>
  <c r="O31" i="18511"/>
  <c r="O34" i="18511" s="1"/>
  <c r="O22" i="18512"/>
  <c r="F31" i="18511"/>
  <c r="F22" i="18512" s="1"/>
  <c r="E31" i="18511"/>
  <c r="E22" i="18512" s="1"/>
  <c r="E34" i="18511"/>
  <c r="D31" i="18511"/>
  <c r="D26" i="18511"/>
  <c r="D27" i="18511" s="1"/>
  <c r="D39" i="18511" s="1"/>
  <c r="D9" i="18511"/>
  <c r="D10" i="18511"/>
  <c r="E21" i="18511"/>
  <c r="G21" i="18511"/>
  <c r="G26" i="18511"/>
  <c r="G10" i="18512" s="1"/>
  <c r="F21" i="18511"/>
  <c r="O21" i="18511"/>
  <c r="O26" i="18511" s="1"/>
  <c r="O14" i="18511"/>
  <c r="O10" i="18511"/>
  <c r="O38" i="18511" s="1"/>
  <c r="K14" i="18511"/>
  <c r="K10" i="18511"/>
  <c r="I14" i="18511"/>
  <c r="I10" i="18511"/>
  <c r="G14" i="18511"/>
  <c r="G9" i="18512" s="1"/>
  <c r="G10" i="18511"/>
  <c r="E14" i="18511"/>
  <c r="E10" i="18511"/>
  <c r="N35" i="18511"/>
  <c r="B35" i="18511" s="1"/>
  <c r="D35" i="18492" s="1"/>
  <c r="N14" i="18511"/>
  <c r="N10" i="18511"/>
  <c r="J14" i="18511"/>
  <c r="J10" i="18511"/>
  <c r="J38" i="18511" s="1"/>
  <c r="H14" i="18511"/>
  <c r="H10" i="18511"/>
  <c r="F14" i="18511"/>
  <c r="F18" i="18512" s="1"/>
  <c r="F10" i="18511"/>
  <c r="D14" i="18511"/>
  <c r="D10" i="18512" s="1"/>
  <c r="I21" i="18511"/>
  <c r="I26" i="18511"/>
  <c r="I11" i="18512" s="1"/>
  <c r="C7" i="5"/>
  <c r="C6" i="5"/>
  <c r="C8" i="5"/>
  <c r="B7" i="18512"/>
  <c r="C12" i="18512"/>
  <c r="F26" i="18511"/>
  <c r="N38" i="18511"/>
  <c r="H38" i="18511"/>
  <c r="G38" i="18511"/>
  <c r="L27" i="18511"/>
  <c r="L39" i="18511"/>
  <c r="F38" i="18511"/>
  <c r="L31" i="18511"/>
  <c r="L34" i="18511"/>
  <c r="L36" i="18511" s="1"/>
  <c r="B36" i="18511"/>
  <c r="B23" i="18512" s="1"/>
  <c r="K34" i="3"/>
  <c r="K36" i="3"/>
  <c r="K23" i="18505"/>
  <c r="C14" i="18512"/>
  <c r="CA27" i="3"/>
  <c r="BR27" i="3"/>
  <c r="Y34" i="3"/>
  <c r="Y36" i="3" s="1"/>
  <c r="Y23" i="18505" s="1"/>
  <c r="BL34" i="3"/>
  <c r="BL36" i="3" s="1"/>
  <c r="BL23" i="18505" s="1"/>
  <c r="X34" i="3"/>
  <c r="X36" i="3" s="1"/>
  <c r="X23" i="18505" s="1"/>
  <c r="AS34" i="3"/>
  <c r="AS36" i="3"/>
  <c r="AS23" i="18505" s="1"/>
  <c r="BY34" i="3"/>
  <c r="BY36" i="3"/>
  <c r="BY23" i="18505" s="1"/>
  <c r="T34" i="3"/>
  <c r="T36" i="3"/>
  <c r="T23" i="18505" s="1"/>
  <c r="AO34" i="3"/>
  <c r="AO36" i="3" s="1"/>
  <c r="AO23" i="18505" s="1"/>
  <c r="BB27" i="3"/>
  <c r="BB37" i="3" s="1"/>
  <c r="BP36" i="3"/>
  <c r="BP23" i="18505"/>
  <c r="L34" i="3"/>
  <c r="L36" i="3" s="1"/>
  <c r="L23" i="18505" s="1"/>
  <c r="CC27" i="3"/>
  <c r="AJ27" i="3"/>
  <c r="AJ34" i="3"/>
  <c r="AJ36" i="3" s="1"/>
  <c r="AJ23" i="18505" s="1"/>
  <c r="AT27" i="3"/>
  <c r="BQ34" i="3"/>
  <c r="BQ36" i="3" s="1"/>
  <c r="BQ23" i="18505" s="1"/>
  <c r="BU27" i="3"/>
  <c r="AP34" i="3"/>
  <c r="AP36" i="3"/>
  <c r="AP23" i="18505" s="1"/>
  <c r="BF34" i="3"/>
  <c r="BF36" i="3"/>
  <c r="BF23" i="18505" s="1"/>
  <c r="BH36" i="3"/>
  <c r="BH23" i="18505" s="1"/>
  <c r="BK27" i="3"/>
  <c r="BK37" i="3" s="1"/>
  <c r="H27" i="3"/>
  <c r="AF34" i="3"/>
  <c r="AF36" i="3" s="1"/>
  <c r="AF23" i="18505" s="1"/>
  <c r="AM27" i="3"/>
  <c r="AM37" i="3" s="1"/>
  <c r="I34" i="3"/>
  <c r="I36" i="3" s="1"/>
  <c r="I23" i="18505" s="1"/>
  <c r="BA27" i="3"/>
  <c r="AZ27" i="3"/>
  <c r="BP14" i="3"/>
  <c r="BP25" i="18505"/>
  <c r="F24" i="18492"/>
  <c r="F22" i="18501" s="1"/>
  <c r="BP26" i="3"/>
  <c r="BP20" i="18505" s="1"/>
  <c r="BX27" i="3"/>
  <c r="J20" i="18512"/>
  <c r="J27" i="18511"/>
  <c r="J39" i="18511" s="1"/>
  <c r="J22" i="18512"/>
  <c r="L22" i="18512"/>
  <c r="I22" i="18512"/>
  <c r="E7" i="18501"/>
  <c r="E10" i="18492"/>
  <c r="L23" i="18512"/>
  <c r="C36" i="18511"/>
  <c r="C23" i="18512" s="1"/>
  <c r="BR11" i="18505"/>
  <c r="BR20" i="18505"/>
  <c r="BR10" i="18505"/>
  <c r="BS11" i="18505"/>
  <c r="BS10" i="18505"/>
  <c r="C14" i="3"/>
  <c r="BV36" i="3"/>
  <c r="BV23" i="18505" s="1"/>
  <c r="BW27" i="3"/>
  <c r="F16" i="18492"/>
  <c r="E25" i="18501"/>
  <c r="BM22" i="18505"/>
  <c r="BM34" i="3"/>
  <c r="BM36" i="3" s="1"/>
  <c r="BM23" i="18505"/>
  <c r="AE10" i="18505"/>
  <c r="AE9" i="18505"/>
  <c r="AU10" i="18505"/>
  <c r="AU27" i="3"/>
  <c r="AU37" i="3" s="1"/>
  <c r="AU12" i="18505"/>
  <c r="AU9" i="18505"/>
  <c r="BA22" i="18505"/>
  <c r="BA34" i="3"/>
  <c r="BA36" i="3"/>
  <c r="BA23" i="18505" s="1"/>
  <c r="AG9" i="18505"/>
  <c r="AG27" i="3"/>
  <c r="AG37" i="3" s="1"/>
  <c r="AR18" i="18505"/>
  <c r="AR15" i="18505"/>
  <c r="BN22" i="18505"/>
  <c r="BN34" i="3"/>
  <c r="BN36" i="3" s="1"/>
  <c r="BN23" i="18505" s="1"/>
  <c r="P10" i="18505"/>
  <c r="P27" i="3"/>
  <c r="P12" i="18505"/>
  <c r="P18" i="18505"/>
  <c r="P14" i="18505"/>
  <c r="BK34" i="3"/>
  <c r="BK36" i="3" s="1"/>
  <c r="BK23" i="18505" s="1"/>
  <c r="I12" i="18505"/>
  <c r="I9" i="18505"/>
  <c r="I27" i="3"/>
  <c r="I37" i="3"/>
  <c r="I10" i="18505"/>
  <c r="K37" i="3"/>
  <c r="K18" i="18505"/>
  <c r="K14" i="18505"/>
  <c r="C32" i="3"/>
  <c r="G32" i="18492"/>
  <c r="S31" i="3"/>
  <c r="T27" i="3"/>
  <c r="N20" i="18505"/>
  <c r="N11" i="18505"/>
  <c r="X27" i="3"/>
  <c r="X37" i="3" s="1"/>
  <c r="Z37" i="3"/>
  <c r="Z18" i="18505"/>
  <c r="Z14" i="18505"/>
  <c r="Z15" i="18505"/>
  <c r="AA34" i="3"/>
  <c r="AA36" i="3"/>
  <c r="AA23" i="18505" s="1"/>
  <c r="AF12" i="18505"/>
  <c r="AF9" i="18505"/>
  <c r="AF27" i="3"/>
  <c r="AF37" i="3" s="1"/>
  <c r="AJ20" i="18505"/>
  <c r="AJ11" i="18505"/>
  <c r="AM20" i="18505"/>
  <c r="AO20" i="18505"/>
  <c r="AO11" i="18505"/>
  <c r="AS14" i="18505"/>
  <c r="AS18" i="18505"/>
  <c r="AS15" i="18505"/>
  <c r="AR34" i="3"/>
  <c r="AR36" i="3"/>
  <c r="AR23" i="18505"/>
  <c r="AU20" i="18505"/>
  <c r="BC12" i="18505"/>
  <c r="BC10" i="18505"/>
  <c r="BG10" i="18505"/>
  <c r="BG12" i="18505"/>
  <c r="BG9" i="18505"/>
  <c r="BM12" i="18505"/>
  <c r="BM10" i="18505"/>
  <c r="BT15" i="18505"/>
  <c r="BT18" i="18505"/>
  <c r="BT37" i="3"/>
  <c r="BY10" i="18505"/>
  <c r="BY9" i="18505"/>
  <c r="BT20" i="18505"/>
  <c r="BT11" i="18505"/>
  <c r="BV11" i="18505"/>
  <c r="BV20" i="18505"/>
  <c r="P9" i="18505"/>
  <c r="BC18" i="18505"/>
  <c r="I18" i="18505"/>
  <c r="I14" i="18505"/>
  <c r="AK12" i="18505"/>
  <c r="AK10" i="18505"/>
  <c r="O9" i="18505"/>
  <c r="O27" i="3"/>
  <c r="O37" i="3" s="1"/>
  <c r="AK20" i="18505"/>
  <c r="AK11" i="18505"/>
  <c r="AT20" i="18505"/>
  <c r="BW12" i="18505"/>
  <c r="BW10" i="18505"/>
  <c r="BW9" i="18505"/>
  <c r="BT34" i="3"/>
  <c r="BT36" i="3" s="1"/>
  <c r="BT23" i="18505" s="1"/>
  <c r="BT22" i="18505"/>
  <c r="AG12" i="18505"/>
  <c r="H34" i="3"/>
  <c r="H36" i="3" s="1"/>
  <c r="H23" i="18505" s="1"/>
  <c r="BI34" i="3"/>
  <c r="BI36" i="3" s="1"/>
  <c r="BI23" i="18505" s="1"/>
  <c r="AL27" i="3"/>
  <c r="J12" i="18505"/>
  <c r="J9" i="18505"/>
  <c r="J27" i="3"/>
  <c r="J37" i="3"/>
  <c r="J10" i="18505"/>
  <c r="M34" i="3"/>
  <c r="M36" i="3"/>
  <c r="M23" i="18505" s="1"/>
  <c r="R12" i="18505"/>
  <c r="R9" i="18505"/>
  <c r="AC14" i="18505"/>
  <c r="AC18" i="18505"/>
  <c r="AA18" i="18505"/>
  <c r="AA14" i="18505"/>
  <c r="AA15" i="18505"/>
  <c r="AG20" i="18505"/>
  <c r="AG11" i="18505"/>
  <c r="AM15" i="18505"/>
  <c r="AM14" i="18505"/>
  <c r="AM18" i="18505"/>
  <c r="AN22" i="18505"/>
  <c r="AN34" i="3"/>
  <c r="AN36" i="3" s="1"/>
  <c r="AN23" i="18505" s="1"/>
  <c r="AQ9" i="18505"/>
  <c r="AQ12" i="18505"/>
  <c r="AQ10" i="18505"/>
  <c r="AQ27" i="3"/>
  <c r="AQ37" i="3"/>
  <c r="AU36" i="3"/>
  <c r="AU23" i="18505" s="1"/>
  <c r="BB20" i="18505"/>
  <c r="BB11" i="18505"/>
  <c r="BJ34" i="3"/>
  <c r="BJ36" i="3"/>
  <c r="BJ23" i="18505" s="1"/>
  <c r="BJ22" i="18505"/>
  <c r="BL11" i="18505"/>
  <c r="BL20" i="18505"/>
  <c r="BL27" i="3"/>
  <c r="BU15" i="18505"/>
  <c r="BU14" i="18505"/>
  <c r="BU37" i="3"/>
  <c r="BU18" i="18505"/>
  <c r="AD11" i="18505"/>
  <c r="AD20" i="18505"/>
  <c r="AF10" i="18505"/>
  <c r="T11" i="18505"/>
  <c r="O12" i="18505"/>
  <c r="N27" i="3"/>
  <c r="N9" i="18505"/>
  <c r="BP11" i="18505"/>
  <c r="J34" i="3"/>
  <c r="J36" i="3" s="1"/>
  <c r="J23" i="18505" s="1"/>
  <c r="AP9" i="18505"/>
  <c r="AP12" i="18505"/>
  <c r="AP10" i="18505"/>
  <c r="BO10" i="18505"/>
  <c r="BO27" i="3"/>
  <c r="BO9" i="18505"/>
  <c r="BO12" i="18505"/>
  <c r="AQ34" i="3"/>
  <c r="AQ36" i="3" s="1"/>
  <c r="AQ23" i="18505" s="1"/>
  <c r="AE27" i="3"/>
  <c r="AE37" i="3" s="1"/>
  <c r="BP12" i="18505"/>
  <c r="BP9" i="18505"/>
  <c r="AK27" i="3"/>
  <c r="AK37" i="3" s="1"/>
  <c r="BH27" i="3"/>
  <c r="D14" i="18505"/>
  <c r="I20" i="18505"/>
  <c r="I11" i="18505"/>
  <c r="C30" i="3"/>
  <c r="G30" i="18492" s="1"/>
  <c r="L15" i="18505"/>
  <c r="L18" i="18505"/>
  <c r="L14" i="18505"/>
  <c r="T37" i="3"/>
  <c r="T18" i="18505"/>
  <c r="T15" i="18505"/>
  <c r="N22" i="18505"/>
  <c r="N34" i="3"/>
  <c r="N36" i="3"/>
  <c r="N23" i="18505" s="1"/>
  <c r="Y12" i="18505"/>
  <c r="Y9" i="18505"/>
  <c r="Y27" i="3"/>
  <c r="Y37" i="3"/>
  <c r="AB12" i="18505"/>
  <c r="AB10" i="18505"/>
  <c r="AK34" i="3"/>
  <c r="AK36" i="3" s="1"/>
  <c r="AK23" i="18505" s="1"/>
  <c r="AN37" i="3"/>
  <c r="AP27" i="3"/>
  <c r="AH18" i="18505"/>
  <c r="AH14" i="18505"/>
  <c r="AH15" i="18505"/>
  <c r="BY18" i="18505"/>
  <c r="BY37" i="3"/>
  <c r="BY14" i="18505"/>
  <c r="BY20" i="18505"/>
  <c r="BW22" i="18505"/>
  <c r="BW34" i="3"/>
  <c r="BW36" i="3"/>
  <c r="BW23" i="18505" s="1"/>
  <c r="AK9" i="18505"/>
  <c r="AG10" i="18505"/>
  <c r="BQ10" i="18505"/>
  <c r="N12" i="18505"/>
  <c r="BV12" i="18505"/>
  <c r="BV10" i="18505"/>
  <c r="BV9" i="18505"/>
  <c r="K12" i="18505"/>
  <c r="K9" i="18505"/>
  <c r="K10" i="18505"/>
  <c r="X11" i="18505"/>
  <c r="X20" i="18505"/>
  <c r="AP11" i="18505"/>
  <c r="AP20" i="18505"/>
  <c r="N10" i="18505"/>
  <c r="AN10" i="18505"/>
  <c r="BH11" i="18505"/>
  <c r="C33" i="3"/>
  <c r="G33" i="18492" s="1"/>
  <c r="M12" i="18505"/>
  <c r="M10" i="18505"/>
  <c r="M27" i="3"/>
  <c r="R37" i="3"/>
  <c r="R18" i="18505"/>
  <c r="R14" i="18505"/>
  <c r="R15" i="18505"/>
  <c r="BF12" i="18505"/>
  <c r="BF10" i="18505"/>
  <c r="BF9" i="18505"/>
  <c r="AB20" i="18505"/>
  <c r="AB11" i="18505"/>
  <c r="AO18" i="18505"/>
  <c r="AO14" i="18505"/>
  <c r="AO15" i="18505"/>
  <c r="AX11" i="18505"/>
  <c r="AX27" i="3"/>
  <c r="AX37" i="3" s="1"/>
  <c r="AX20" i="18505"/>
  <c r="BJ18" i="18505"/>
  <c r="BJ37" i="3"/>
  <c r="BJ14" i="18505"/>
  <c r="BJ15" i="18505"/>
  <c r="BS20" i="18505"/>
  <c r="D27" i="3"/>
  <c r="D37" i="3"/>
  <c r="E22" i="18505"/>
  <c r="E34" i="3"/>
  <c r="J20" i="18505"/>
  <c r="J11" i="18505"/>
  <c r="N18" i="18505"/>
  <c r="N14" i="18505"/>
  <c r="N15" i="18505"/>
  <c r="N37" i="3"/>
  <c r="Y20" i="18505"/>
  <c r="Y11" i="18505"/>
  <c r="AK18" i="18505"/>
  <c r="AK15" i="18505"/>
  <c r="AL15" i="18505"/>
  <c r="AL37" i="3"/>
  <c r="AL18" i="18505"/>
  <c r="AS20" i="18505"/>
  <c r="AS11" i="18505"/>
  <c r="AS27" i="3"/>
  <c r="AS37" i="3" s="1"/>
  <c r="AU15" i="18505"/>
  <c r="AU14" i="18505"/>
  <c r="AU18" i="18505"/>
  <c r="BA37" i="3"/>
  <c r="BA18" i="18505"/>
  <c r="BA14" i="18505"/>
  <c r="BA15" i="18505"/>
  <c r="BG22" i="18505"/>
  <c r="BG34" i="3"/>
  <c r="BG36" i="3"/>
  <c r="BG23" i="18505" s="1"/>
  <c r="BI20" i="18505"/>
  <c r="BI27" i="3"/>
  <c r="BI37" i="3" s="1"/>
  <c r="BK18" i="18505"/>
  <c r="BK14" i="18505"/>
  <c r="BK15" i="18505"/>
  <c r="BV14" i="18505"/>
  <c r="BV15" i="18505"/>
  <c r="BV18" i="18505"/>
  <c r="O10" i="18505"/>
  <c r="AO10" i="18505"/>
  <c r="BI11" i="18505"/>
  <c r="T14" i="18505"/>
  <c r="AC15" i="18505"/>
  <c r="J18" i="18505"/>
  <c r="CB22" i="18505"/>
  <c r="BV27" i="3"/>
  <c r="BV37" i="3"/>
  <c r="BF27" i="3"/>
  <c r="H18" i="18505"/>
  <c r="H14" i="18505"/>
  <c r="H15" i="18505"/>
  <c r="H37" i="3"/>
  <c r="Z11" i="18505"/>
  <c r="Z20" i="18505"/>
  <c r="AG18" i="18505"/>
  <c r="AG14" i="18505"/>
  <c r="AG15" i="18505"/>
  <c r="AL12" i="18505"/>
  <c r="AL10" i="18505"/>
  <c r="AN12" i="18505"/>
  <c r="AN9" i="18505"/>
  <c r="AH9" i="18505"/>
  <c r="AH10" i="18505"/>
  <c r="BA12" i="18505"/>
  <c r="BA9" i="18505"/>
  <c r="BA10" i="18505"/>
  <c r="BJ9" i="18505"/>
  <c r="BJ12" i="18505"/>
  <c r="BJ10" i="18505"/>
  <c r="BL37" i="3"/>
  <c r="CA22" i="18505"/>
  <c r="CA34" i="3"/>
  <c r="CA36" i="3"/>
  <c r="CA23" i="18505" s="1"/>
  <c r="AZ22" i="18505"/>
  <c r="AZ34" i="3"/>
  <c r="AZ36" i="3" s="1"/>
  <c r="AZ23" i="18505" s="1"/>
  <c r="BZ18" i="18505"/>
  <c r="BZ14" i="18505"/>
  <c r="BZ15" i="18505"/>
  <c r="AX10" i="18505"/>
  <c r="BZ20" i="18505"/>
  <c r="T12" i="18505"/>
  <c r="AC12" i="18505"/>
  <c r="AD15" i="18505"/>
  <c r="AR12" i="18505"/>
  <c r="AX18" i="18505"/>
  <c r="AX14" i="18505"/>
  <c r="AX15" i="18505"/>
  <c r="BC20" i="18505"/>
  <c r="BH18" i="18505"/>
  <c r="BH37" i="3"/>
  <c r="BH14" i="18505"/>
  <c r="BH15" i="18505"/>
  <c r="BM11" i="18505"/>
  <c r="BM20" i="18505"/>
  <c r="BW11" i="18505"/>
  <c r="BW20" i="18505"/>
  <c r="BZ27" i="3"/>
  <c r="BZ37" i="3" s="1"/>
  <c r="BW37" i="3"/>
  <c r="BW14" i="18505"/>
  <c r="BW15" i="18505"/>
  <c r="AM9" i="18505"/>
  <c r="BN9" i="18505"/>
  <c r="Z10" i="18505"/>
  <c r="AZ10" i="18505"/>
  <c r="BT10" i="18505"/>
  <c r="M11" i="18505"/>
  <c r="AZ11" i="18505"/>
  <c r="CC11" i="18505"/>
  <c r="L12" i="18505"/>
  <c r="BQ14" i="18505"/>
  <c r="AW14" i="18505"/>
  <c r="AW15" i="18505"/>
  <c r="AV10" i="18505"/>
  <c r="AV20" i="18505"/>
  <c r="AV11" i="18505"/>
  <c r="C35" i="3"/>
  <c r="G35" i="18492" s="1"/>
  <c r="C10" i="3"/>
  <c r="C18" i="18505" s="1"/>
  <c r="L27" i="3"/>
  <c r="L37" i="3"/>
  <c r="D10" i="18505"/>
  <c r="H12" i="18505"/>
  <c r="K20" i="18505"/>
  <c r="R11" i="18505"/>
  <c r="R20" i="18505"/>
  <c r="U34" i="3"/>
  <c r="U36" i="3"/>
  <c r="U23" i="18505"/>
  <c r="O20" i="18505"/>
  <c r="X18" i="18505"/>
  <c r="X14" i="18505"/>
  <c r="X15" i="18505"/>
  <c r="AC20" i="18505"/>
  <c r="AE10" i="3"/>
  <c r="AE12" i="18505" s="1"/>
  <c r="AA27" i="3"/>
  <c r="AA37" i="3" s="1"/>
  <c r="AD12" i="18505"/>
  <c r="AS12" i="18505"/>
  <c r="AH11" i="18505"/>
  <c r="AH20" i="18505"/>
  <c r="AY18" i="18505"/>
  <c r="AY14" i="18505"/>
  <c r="BA20" i="18505"/>
  <c r="BI18" i="18505"/>
  <c r="BJ20" i="18505"/>
  <c r="BJ11" i="18505"/>
  <c r="BL15" i="18505"/>
  <c r="BL18" i="18505"/>
  <c r="BN14" i="18505"/>
  <c r="BN15" i="18505"/>
  <c r="CB15" i="18505"/>
  <c r="CB18" i="18505"/>
  <c r="CB12" i="18505"/>
  <c r="BS34" i="3"/>
  <c r="BS36" i="3"/>
  <c r="BS23" i="18505" s="1"/>
  <c r="X9" i="18505"/>
  <c r="AW9" i="18505"/>
  <c r="S10" i="18505"/>
  <c r="AA10" i="18505"/>
  <c r="AI10" i="18505"/>
  <c r="BK10" i="18505"/>
  <c r="BA11" i="18505"/>
  <c r="BO11" i="18505"/>
  <c r="AA12" i="18505"/>
  <c r="CC14" i="18505"/>
  <c r="BM14" i="18505"/>
  <c r="BX20" i="18505"/>
  <c r="AW20" i="18505"/>
  <c r="AW11" i="18505"/>
  <c r="CC37" i="3"/>
  <c r="C9" i="3"/>
  <c r="G9" i="18492"/>
  <c r="E27" i="3"/>
  <c r="E37" i="3" s="1"/>
  <c r="M18" i="18505"/>
  <c r="M14" i="18505"/>
  <c r="M15" i="18505"/>
  <c r="M37" i="3"/>
  <c r="S20" i="18505"/>
  <c r="U15" i="18505"/>
  <c r="Y18" i="18505"/>
  <c r="Y14" i="18505"/>
  <c r="Y15" i="18505"/>
  <c r="AJ37" i="3"/>
  <c r="AJ18" i="18505"/>
  <c r="AJ14" i="18505"/>
  <c r="AO27" i="3"/>
  <c r="AO37" i="3" s="1"/>
  <c r="AP37" i="3"/>
  <c r="AP18" i="18505"/>
  <c r="AP14" i="18505"/>
  <c r="AP15" i="18505"/>
  <c r="AR20" i="18505"/>
  <c r="AT15" i="18505"/>
  <c r="AT37" i="3"/>
  <c r="AX12" i="18505"/>
  <c r="BB15" i="18505"/>
  <c r="BB18" i="18505"/>
  <c r="BB34" i="3"/>
  <c r="BB36" i="3" s="1"/>
  <c r="BB23" i="18505" s="1"/>
  <c r="BH12" i="18505"/>
  <c r="BK20" i="18505"/>
  <c r="BO37" i="3"/>
  <c r="BO14" i="18505"/>
  <c r="BO15" i="18505"/>
  <c r="CC12" i="18505"/>
  <c r="CA20" i="18505"/>
  <c r="AZ37" i="3"/>
  <c r="AZ18" i="18505"/>
  <c r="H9" i="18505"/>
  <c r="AO9" i="18505"/>
  <c r="AX9" i="18505"/>
  <c r="BH9" i="18505"/>
  <c r="T10" i="18505"/>
  <c r="AR10" i="18505"/>
  <c r="E11" i="18505"/>
  <c r="O11" i="18505"/>
  <c r="AM11" i="18505"/>
  <c r="BC11" i="18505"/>
  <c r="BZ12" i="18505"/>
  <c r="Z12" i="18505"/>
  <c r="CB14" i="18505"/>
  <c r="BL14" i="18505"/>
  <c r="AT14" i="18505"/>
  <c r="AD14" i="18505"/>
  <c r="J14" i="18505"/>
  <c r="BO18" i="18505"/>
  <c r="U18" i="18505"/>
  <c r="AV27" i="3"/>
  <c r="AV37" i="3" s="1"/>
  <c r="P37" i="3"/>
  <c r="BF37" i="3"/>
  <c r="BF14" i="18505"/>
  <c r="BF15" i="18505"/>
  <c r="BR18" i="18505"/>
  <c r="BR37" i="3"/>
  <c r="BR14" i="18505"/>
  <c r="BT12" i="18505"/>
  <c r="BX18" i="18505"/>
  <c r="BX37" i="3"/>
  <c r="BX14" i="18505"/>
  <c r="BX15" i="18505"/>
  <c r="BX12" i="18505"/>
  <c r="U10" i="18505"/>
  <c r="AC10" i="18505"/>
  <c r="AS10" i="18505"/>
  <c r="AQ11" i="18505"/>
  <c r="CA14" i="18505"/>
  <c r="BN18" i="18505"/>
  <c r="AN20" i="18505"/>
  <c r="CA37" i="3"/>
  <c r="H20" i="18505"/>
  <c r="S18" i="18505"/>
  <c r="S14" i="18505"/>
  <c r="O18" i="18505"/>
  <c r="O14" i="18505"/>
  <c r="O15" i="18505"/>
  <c r="AB37" i="3"/>
  <c r="AB18" i="18505"/>
  <c r="AB14" i="18505"/>
  <c r="AA20" i="18505"/>
  <c r="AF18" i="18505"/>
  <c r="AF14" i="18505"/>
  <c r="AF15" i="18505"/>
  <c r="AJ12" i="18505"/>
  <c r="AN18" i="18505"/>
  <c r="AN14" i="18505"/>
  <c r="AN15" i="18505"/>
  <c r="AQ18" i="18505"/>
  <c r="AT12" i="18505"/>
  <c r="AI18" i="18505"/>
  <c r="BB12" i="18505"/>
  <c r="BG37" i="3"/>
  <c r="BG14" i="18505"/>
  <c r="BG15" i="18505"/>
  <c r="BL12" i="18505"/>
  <c r="BS18" i="18505"/>
  <c r="BU12" i="18505"/>
  <c r="BQ20" i="18505"/>
  <c r="CB20" i="18505"/>
  <c r="CB11" i="18505"/>
  <c r="BP18" i="18505"/>
  <c r="BP14" i="18505"/>
  <c r="BP15" i="18505"/>
  <c r="BU20" i="18505"/>
  <c r="S9" i="18505"/>
  <c r="AI9" i="18505"/>
  <c r="AD10" i="18505"/>
  <c r="AT10" i="18505"/>
  <c r="BN10" i="18505"/>
  <c r="BX10" i="18505"/>
  <c r="AC11" i="18505"/>
  <c r="AR11" i="18505"/>
  <c r="BU11" i="18505"/>
  <c r="AM12" i="18505"/>
  <c r="BI14" i="18505"/>
  <c r="AQ14" i="18505"/>
  <c r="CA15" i="18505"/>
  <c r="BI15" i="18505"/>
  <c r="S15" i="18505"/>
  <c r="BM18" i="18505"/>
  <c r="BN20" i="18505"/>
  <c r="AW12" i="18505"/>
  <c r="B29" i="3"/>
  <c r="F29" i="18492" s="1"/>
  <c r="BQ18" i="18505"/>
  <c r="AC27" i="3"/>
  <c r="AC37" i="3" s="1"/>
  <c r="T9" i="18505"/>
  <c r="AJ9" i="18505"/>
  <c r="AR9" i="18505"/>
  <c r="S11" i="18505"/>
  <c r="AJ15" i="18505"/>
  <c r="BG18" i="18505"/>
  <c r="AL20" i="18505"/>
  <c r="BE20" i="18505"/>
  <c r="B7" i="18505"/>
  <c r="B33" i="3"/>
  <c r="F33" i="18492" s="1"/>
  <c r="M10" i="18512"/>
  <c r="M27" i="18511"/>
  <c r="M39" i="18511" s="1"/>
  <c r="M11" i="18512"/>
  <c r="D28" i="18492"/>
  <c r="D31" i="18492"/>
  <c r="E18" i="18492"/>
  <c r="E11" i="18501"/>
  <c r="D9" i="18501"/>
  <c r="E14" i="18492"/>
  <c r="E15" i="18501"/>
  <c r="D25" i="18501"/>
  <c r="E17" i="18501"/>
  <c r="E12" i="18501"/>
  <c r="E20" i="18501"/>
  <c r="C18" i="18512"/>
  <c r="F14" i="18492"/>
  <c r="F9" i="18501" s="1"/>
  <c r="F20" i="18505"/>
  <c r="G11" i="18501"/>
  <c r="E20" i="18505"/>
  <c r="D11" i="18505"/>
  <c r="E10" i="18505"/>
  <c r="F10" i="18505"/>
  <c r="B11" i="18505"/>
  <c r="G23" i="18501"/>
  <c r="G22" i="18501"/>
  <c r="G11" i="18505"/>
  <c r="F26" i="18492"/>
  <c r="F27" i="18492" s="1"/>
  <c r="G17" i="18501"/>
  <c r="G10" i="18505"/>
  <c r="C9" i="18505"/>
  <c r="C7" i="18505"/>
  <c r="C25" i="18505"/>
  <c r="G12" i="18492"/>
  <c r="G9" i="18501" s="1"/>
  <c r="F9" i="18505"/>
  <c r="F12" i="18505"/>
  <c r="F27" i="3"/>
  <c r="F37" i="3" s="1"/>
  <c r="B25" i="18505"/>
  <c r="B14" i="3"/>
  <c r="B10" i="18505" s="1"/>
  <c r="F18" i="18505"/>
  <c r="F14" i="18505"/>
  <c r="E15" i="18505"/>
  <c r="B17" i="18505"/>
  <c r="D15" i="18505"/>
  <c r="E18" i="18505"/>
  <c r="D18" i="18505"/>
  <c r="F11" i="18501"/>
  <c r="F7" i="18501"/>
  <c r="E12" i="18505"/>
  <c r="D12" i="18505"/>
  <c r="E14" i="18505"/>
  <c r="D20" i="18505"/>
  <c r="F25" i="18501"/>
  <c r="C17" i="18505"/>
  <c r="G8" i="18492"/>
  <c r="G7" i="18501" s="1"/>
  <c r="G14" i="18505"/>
  <c r="G18" i="18505"/>
  <c r="G15" i="18505"/>
  <c r="G12" i="18505"/>
  <c r="C14" i="18505"/>
  <c r="S22" i="18505"/>
  <c r="S34" i="3"/>
  <c r="S36" i="3"/>
  <c r="S23" i="18505"/>
  <c r="C15" i="18505"/>
  <c r="E36" i="3"/>
  <c r="E23" i="18505" s="1"/>
  <c r="AE15" i="18505"/>
  <c r="AE14" i="18505"/>
  <c r="AE20" i="18505"/>
  <c r="AE18" i="18505"/>
  <c r="E18" i="18501"/>
  <c r="E14" i="18501"/>
  <c r="F31" i="3"/>
  <c r="G14" i="18492"/>
  <c r="G10" i="18492"/>
  <c r="G20" i="18501" s="1"/>
  <c r="G25" i="18501"/>
  <c r="F22" i="18505"/>
  <c r="F34" i="3"/>
  <c r="F30" i="18492"/>
  <c r="G15" i="18501"/>
  <c r="G12" i="18501"/>
  <c r="F36" i="3"/>
  <c r="F23" i="18505"/>
  <c r="R74" i="1" l="1"/>
  <c r="S10" i="18525"/>
  <c r="R11" i="18525"/>
  <c r="V6" i="18525" s="1"/>
  <c r="U6" i="18525"/>
  <c r="T6" i="18525"/>
  <c r="C74" i="1"/>
  <c r="S5" i="18525"/>
  <c r="H8" i="18525"/>
  <c r="O6" i="18525"/>
  <c r="O9" i="18525"/>
  <c r="O8" i="18525"/>
  <c r="N6" i="18525"/>
  <c r="N9" i="18525"/>
  <c r="N8" i="18525"/>
  <c r="H9" i="18525"/>
  <c r="AL11" i="18525"/>
  <c r="H7" i="18525"/>
  <c r="I7" i="18525"/>
  <c r="AC11" i="18525"/>
  <c r="U51" i="1"/>
  <c r="U47" i="1"/>
  <c r="H10" i="18525"/>
  <c r="AJ11" i="18525"/>
  <c r="I6" i="18525"/>
  <c r="H6" i="18525"/>
  <c r="AB11" i="18525"/>
  <c r="AF11" i="18525"/>
  <c r="I5" i="18525"/>
  <c r="H5" i="18525"/>
  <c r="G11" i="18525"/>
  <c r="AG11" i="18525"/>
  <c r="O5" i="18525"/>
  <c r="O10" i="18525"/>
  <c r="O7" i="18525"/>
  <c r="N5" i="18525"/>
  <c r="M11" i="18525"/>
  <c r="L11" i="18525"/>
  <c r="N7" i="18525"/>
  <c r="N10" i="18525"/>
  <c r="R47" i="1"/>
  <c r="C47" i="1"/>
  <c r="R51" i="1"/>
  <c r="C51" i="1"/>
  <c r="C32" i="18492"/>
  <c r="C12" i="18492"/>
  <c r="B9" i="18492"/>
  <c r="C33" i="18492"/>
  <c r="C16" i="18492"/>
  <c r="C22" i="18501"/>
  <c r="B22" i="18501"/>
  <c r="B23" i="18501"/>
  <c r="O20" i="18512"/>
  <c r="O11" i="18512"/>
  <c r="O27" i="18511"/>
  <c r="D34" i="18511"/>
  <c r="D22" i="18512"/>
  <c r="M18" i="18512"/>
  <c r="M14" i="18512"/>
  <c r="M20" i="18512"/>
  <c r="M38" i="18511"/>
  <c r="M15" i="18512"/>
  <c r="BQ12" i="18505"/>
  <c r="BQ9" i="18505"/>
  <c r="BQ27" i="3"/>
  <c r="BQ37" i="3" s="1"/>
  <c r="U14" i="18505"/>
  <c r="U12" i="18505"/>
  <c r="U20" i="18505"/>
  <c r="AH12" i="18505"/>
  <c r="AH27" i="3"/>
  <c r="AH37" i="3" s="1"/>
  <c r="AT36" i="3"/>
  <c r="AT23" i="18505" s="1"/>
  <c r="B9" i="18505"/>
  <c r="F10" i="18501"/>
  <c r="E9" i="18501"/>
  <c r="C12" i="18505"/>
  <c r="AB9" i="18505"/>
  <c r="R10" i="18505"/>
  <c r="I14" i="18512"/>
  <c r="G20" i="18512"/>
  <c r="G11" i="18512"/>
  <c r="G27" i="18511"/>
  <c r="G39" i="18511" s="1"/>
  <c r="H22" i="18512"/>
  <c r="H34" i="18511"/>
  <c r="B33" i="18492"/>
  <c r="C23" i="18501"/>
  <c r="BN11" i="18505"/>
  <c r="BN27" i="3"/>
  <c r="BN37" i="3" s="1"/>
  <c r="N15" i="18512"/>
  <c r="N14" i="18512"/>
  <c r="N18" i="18512"/>
  <c r="I12" i="18512"/>
  <c r="I9" i="18512"/>
  <c r="I10" i="18512"/>
  <c r="I27" i="18511"/>
  <c r="I39" i="18511" s="1"/>
  <c r="I38" i="18511"/>
  <c r="B32" i="18492"/>
  <c r="C18" i="18492"/>
  <c r="AL14" i="18505"/>
  <c r="AL22" i="18505"/>
  <c r="AL34" i="3"/>
  <c r="AL36" i="3" s="1"/>
  <c r="AL23" i="18505" s="1"/>
  <c r="C21" i="18511"/>
  <c r="E26" i="18511"/>
  <c r="C9" i="18492"/>
  <c r="B28" i="3"/>
  <c r="R31" i="3"/>
  <c r="BU34" i="3"/>
  <c r="BU36" i="3" s="1"/>
  <c r="BU23" i="18505" s="1"/>
  <c r="BU22" i="18505"/>
  <c r="C29" i="18511"/>
  <c r="E29" i="18492" s="1"/>
  <c r="K31" i="18511"/>
  <c r="G31" i="3"/>
  <c r="C29" i="3"/>
  <c r="G14" i="18501"/>
  <c r="BY12" i="18505"/>
  <c r="F34" i="18511"/>
  <c r="J11" i="18512"/>
  <c r="J10" i="18512"/>
  <c r="B32" i="3"/>
  <c r="F32" i="18492" s="1"/>
  <c r="AR14" i="18505"/>
  <c r="AR27" i="3"/>
  <c r="AR37" i="3" s="1"/>
  <c r="AH22" i="18505"/>
  <c r="AH34" i="3"/>
  <c r="AH36" i="3" s="1"/>
  <c r="AH23" i="18505" s="1"/>
  <c r="F12" i="18512"/>
  <c r="F9" i="18512"/>
  <c r="F10" i="18512"/>
  <c r="E18" i="18512"/>
  <c r="E14" i="18512"/>
  <c r="E15" i="18512"/>
  <c r="E38" i="18511"/>
  <c r="O14" i="18512"/>
  <c r="O15" i="18512"/>
  <c r="O18" i="18512"/>
  <c r="O39" i="18511"/>
  <c r="Z22" i="18505"/>
  <c r="Z34" i="3"/>
  <c r="Z36" i="3" s="1"/>
  <c r="Z23" i="18505" s="1"/>
  <c r="B19" i="18492"/>
  <c r="B26" i="18492" s="1"/>
  <c r="B27" i="3"/>
  <c r="G18" i="18501"/>
  <c r="BP27" i="3"/>
  <c r="BP37" i="3" s="1"/>
  <c r="BP10" i="18505"/>
  <c r="E12" i="18512"/>
  <c r="D22" i="18505"/>
  <c r="D34" i="3"/>
  <c r="N12" i="18512"/>
  <c r="N10" i="18512"/>
  <c r="K15" i="18512"/>
  <c r="K14" i="18512"/>
  <c r="K38" i="18511"/>
  <c r="K18" i="18512"/>
  <c r="K20" i="18512"/>
  <c r="K11" i="18512"/>
  <c r="B31" i="18492"/>
  <c r="S27" i="3"/>
  <c r="S37" i="3" s="1"/>
  <c r="AC34" i="3"/>
  <c r="AC36" i="3" s="1"/>
  <c r="AC23" i="18505" s="1"/>
  <c r="AD9" i="18505"/>
  <c r="AD27" i="3"/>
  <c r="AD37" i="3" s="1"/>
  <c r="AF20" i="18505"/>
  <c r="AI27" i="3"/>
  <c r="AI37" i="3" s="1"/>
  <c r="BR12" i="18505"/>
  <c r="BR9" i="18505"/>
  <c r="N9" i="18512"/>
  <c r="I20" i="18512"/>
  <c r="BS14" i="18505"/>
  <c r="AW18" i="18505"/>
  <c r="AW37" i="3"/>
  <c r="BD10" i="18505"/>
  <c r="B33" i="18511"/>
  <c r="D33" i="18492" s="1"/>
  <c r="D34" i="18492" s="1"/>
  <c r="D36" i="18492" s="1"/>
  <c r="C26" i="3"/>
  <c r="G18" i="18492"/>
  <c r="G26" i="18492" s="1"/>
  <c r="G27" i="18492" s="1"/>
  <c r="G38" i="18492" s="1"/>
  <c r="E28" i="18492"/>
  <c r="F15" i="18512"/>
  <c r="F14" i="18512"/>
  <c r="K12" i="18512"/>
  <c r="K10" i="18512"/>
  <c r="L20" i="18505"/>
  <c r="B12" i="18492"/>
  <c r="AQ15" i="18505"/>
  <c r="BC14" i="18505"/>
  <c r="BF11" i="18505"/>
  <c r="CA10" i="18505"/>
  <c r="BR22" i="18505"/>
  <c r="L9" i="18512"/>
  <c r="L11" i="18512"/>
  <c r="D12" i="18512"/>
  <c r="H20" i="18512"/>
  <c r="BD37" i="3"/>
  <c r="B31" i="18511"/>
  <c r="B22" i="18512" s="1"/>
  <c r="N20" i="18512"/>
  <c r="N11" i="18512"/>
  <c r="C8" i="18492"/>
  <c r="AY20" i="18505"/>
  <c r="CB27" i="3"/>
  <c r="CB37" i="3" s="1"/>
  <c r="CB9" i="18505"/>
  <c r="CB10" i="18505"/>
  <c r="K9" i="18512"/>
  <c r="F20" i="18512"/>
  <c r="F11" i="18512"/>
  <c r="N27" i="18511"/>
  <c r="N39" i="18511" s="1"/>
  <c r="H18" i="18512"/>
  <c r="H15" i="18512"/>
  <c r="E10" i="18512"/>
  <c r="E9" i="18512"/>
  <c r="O10" i="18512"/>
  <c r="O9" i="18512"/>
  <c r="D14" i="18512"/>
  <c r="D18" i="18512"/>
  <c r="C30" i="18492"/>
  <c r="C31" i="18492" s="1"/>
  <c r="B13" i="18492"/>
  <c r="H11" i="18512"/>
  <c r="H14" i="18512"/>
  <c r="BL9" i="18505"/>
  <c r="G20" i="18505"/>
  <c r="G27" i="3"/>
  <c r="G37" i="3" s="1"/>
  <c r="BD11" i="18505"/>
  <c r="BD20" i="18505"/>
  <c r="D16" i="18492"/>
  <c r="B26" i="18511"/>
  <c r="H10" i="18512"/>
  <c r="H12" i="18512"/>
  <c r="H9" i="18512"/>
  <c r="G14" i="18512"/>
  <c r="G15" i="18512"/>
  <c r="B9" i="18511"/>
  <c r="D17" i="18512"/>
  <c r="U27" i="3"/>
  <c r="U37" i="3" s="1"/>
  <c r="AB22" i="18505"/>
  <c r="AI14" i="18505"/>
  <c r="AI20" i="18505"/>
  <c r="AY27" i="3"/>
  <c r="AY37" i="3" s="1"/>
  <c r="BG20" i="18505"/>
  <c r="BH10" i="18505"/>
  <c r="BN12" i="18505"/>
  <c r="D9" i="18512"/>
  <c r="O12" i="18512"/>
  <c r="C13" i="18492"/>
  <c r="C11" i="18501" s="1"/>
  <c r="AZ9" i="18505"/>
  <c r="D11" i="18501"/>
  <c r="BS15" i="18505"/>
  <c r="Q37" i="3"/>
  <c r="J14" i="18512"/>
  <c r="J18" i="18512"/>
  <c r="J15" i="18512"/>
  <c r="D20" i="18512"/>
  <c r="D11" i="18512"/>
  <c r="BM9" i="18505"/>
  <c r="BM27" i="3"/>
  <c r="BM37" i="3" s="1"/>
  <c r="M12" i="18512"/>
  <c r="C33" i="18511"/>
  <c r="E33" i="18492" s="1"/>
  <c r="B10" i="3"/>
  <c r="F9" i="18492"/>
  <c r="F27" i="18511"/>
  <c r="F39" i="18511" s="1"/>
  <c r="K27" i="18511"/>
  <c r="K39" i="18511" s="1"/>
  <c r="C9" i="5"/>
  <c r="J9" i="18512"/>
  <c r="J12" i="18512"/>
  <c r="I18" i="18512"/>
  <c r="I15" i="18512"/>
  <c r="B21" i="18511"/>
  <c r="D21" i="18492" s="1"/>
  <c r="D23" i="18501" s="1"/>
  <c r="L14" i="18512"/>
  <c r="L18" i="18512"/>
  <c r="AD18" i="18505"/>
  <c r="AY12" i="18505"/>
  <c r="AY10" i="18505"/>
  <c r="BC27" i="3"/>
  <c r="BC37" i="3" s="1"/>
  <c r="CC34" i="3"/>
  <c r="CC36" i="3" s="1"/>
  <c r="CC23" i="18505" s="1"/>
  <c r="CC22" i="18505"/>
  <c r="L12" i="18512"/>
  <c r="G18" i="18512"/>
  <c r="AZ14" i="18505"/>
  <c r="BS12" i="18505"/>
  <c r="W37" i="3"/>
  <c r="C30" i="18511"/>
  <c r="E30" i="18492" s="1"/>
  <c r="BT9" i="18505"/>
  <c r="BE12" i="18505"/>
  <c r="BZ9" i="18505"/>
  <c r="W12" i="18505"/>
  <c r="CA9" i="18505"/>
  <c r="BD9" i="18505"/>
  <c r="BD18" i="18505"/>
  <c r="W9" i="18505"/>
  <c r="Q6" i="18525" l="1"/>
  <c r="P6" i="18525"/>
  <c r="S11" i="18525"/>
  <c r="T5" i="18525"/>
  <c r="U5" i="18525"/>
  <c r="V7" i="18525"/>
  <c r="V9" i="18525"/>
  <c r="V8" i="18525"/>
  <c r="V5" i="18525"/>
  <c r="V10" i="18525"/>
  <c r="T10" i="18525"/>
  <c r="U10" i="18525"/>
  <c r="Q8" i="18525"/>
  <c r="P8" i="18525"/>
  <c r="Q9" i="18525"/>
  <c r="P9" i="18525"/>
  <c r="O11" i="18525"/>
  <c r="P10" i="18525"/>
  <c r="Q10" i="18525"/>
  <c r="P7" i="18525"/>
  <c r="Q7" i="18525"/>
  <c r="P5" i="18525"/>
  <c r="N11" i="18525"/>
  <c r="Q5" i="18525"/>
  <c r="C34" i="18492"/>
  <c r="C36" i="18492" s="1"/>
  <c r="B8" i="18492"/>
  <c r="B10" i="18492" s="1"/>
  <c r="C26" i="18492"/>
  <c r="B11" i="18501"/>
  <c r="B34" i="18492"/>
  <c r="B36" i="18492" s="1"/>
  <c r="D26" i="18492"/>
  <c r="B14" i="18492"/>
  <c r="B9" i="18501" s="1"/>
  <c r="C27" i="3"/>
  <c r="C37" i="3" s="1"/>
  <c r="C10" i="18505"/>
  <c r="C11" i="18505"/>
  <c r="C20" i="18505"/>
  <c r="B34" i="18511"/>
  <c r="B37" i="3"/>
  <c r="B14" i="18505"/>
  <c r="B18" i="18505"/>
  <c r="B15" i="18505"/>
  <c r="B20" i="18505"/>
  <c r="B27" i="18511"/>
  <c r="B11" i="18512"/>
  <c r="B10" i="18512"/>
  <c r="E20" i="18512"/>
  <c r="E11" i="18512"/>
  <c r="E27" i="18511"/>
  <c r="E39" i="18511" s="1"/>
  <c r="C10" i="18492"/>
  <c r="C25" i="18501"/>
  <c r="C7" i="18501"/>
  <c r="E21" i="18492"/>
  <c r="C26" i="18511"/>
  <c r="C14" i="18492"/>
  <c r="R34" i="3"/>
  <c r="R36" i="3" s="1"/>
  <c r="R23" i="18505" s="1"/>
  <c r="R22" i="18505"/>
  <c r="B12" i="18505"/>
  <c r="B10" i="18511"/>
  <c r="B20" i="18512" s="1"/>
  <c r="D9" i="18492"/>
  <c r="B17" i="18512"/>
  <c r="F28" i="18492"/>
  <c r="F31" i="18492" s="1"/>
  <c r="F34" i="18492" s="1"/>
  <c r="F36" i="18492" s="1"/>
  <c r="B31" i="3"/>
  <c r="B22" i="18505" s="1"/>
  <c r="B17" i="18501"/>
  <c r="G10" i="18501"/>
  <c r="K34" i="18511"/>
  <c r="C34" i="18511" s="1"/>
  <c r="K22" i="18512"/>
  <c r="E31" i="18492"/>
  <c r="E34" i="18492" s="1"/>
  <c r="E36" i="18492" s="1"/>
  <c r="G29" i="18492"/>
  <c r="G31" i="18492" s="1"/>
  <c r="G34" i="18492" s="1"/>
  <c r="G36" i="18492" s="1"/>
  <c r="C31" i="3"/>
  <c r="C22" i="18505" s="1"/>
  <c r="C17" i="18501"/>
  <c r="F10" i="18492"/>
  <c r="F17" i="18501"/>
  <c r="C31" i="18511"/>
  <c r="C22" i="18512" s="1"/>
  <c r="D36" i="3"/>
  <c r="D23" i="18505" s="1"/>
  <c r="B34" i="3"/>
  <c r="B36" i="3" s="1"/>
  <c r="B23" i="18505" s="1"/>
  <c r="G22" i="18505"/>
  <c r="G34" i="3"/>
  <c r="D22" i="18501"/>
  <c r="V11" i="18525" l="1"/>
  <c r="U11" i="18525"/>
  <c r="T11" i="18525"/>
  <c r="W9" i="18525"/>
  <c r="X9" i="18525" s="1"/>
  <c r="W8" i="18525"/>
  <c r="W7" i="18525"/>
  <c r="W6" i="18525"/>
  <c r="Y9" i="18525"/>
  <c r="W10" i="18525"/>
  <c r="W5" i="18525"/>
  <c r="B25" i="18501"/>
  <c r="B7" i="18501"/>
  <c r="C27" i="18492"/>
  <c r="C38" i="18492" s="1"/>
  <c r="B27" i="18492"/>
  <c r="B38" i="18492" s="1"/>
  <c r="C9" i="18501"/>
  <c r="F38" i="18492"/>
  <c r="F15" i="18501"/>
  <c r="F14" i="18501"/>
  <c r="F12" i="18501"/>
  <c r="F18" i="18501"/>
  <c r="F20" i="18501"/>
  <c r="B15" i="18501"/>
  <c r="B14" i="18501"/>
  <c r="B18" i="18501"/>
  <c r="C15" i="18501"/>
  <c r="C20" i="18501"/>
  <c r="C14" i="18501"/>
  <c r="C18" i="18501"/>
  <c r="C34" i="3"/>
  <c r="C36" i="3" s="1"/>
  <c r="C23" i="18505" s="1"/>
  <c r="G36" i="3"/>
  <c r="G23" i="18505" s="1"/>
  <c r="B20" i="18501"/>
  <c r="C38" i="18511"/>
  <c r="C20" i="18512"/>
  <c r="C10" i="18512"/>
  <c r="C11" i="18512"/>
  <c r="C27" i="18511"/>
  <c r="C39" i="18511" s="1"/>
  <c r="B10" i="18501"/>
  <c r="B12" i="18501"/>
  <c r="B15" i="18512"/>
  <c r="B14" i="18512"/>
  <c r="B38" i="18511"/>
  <c r="B39" i="18511"/>
  <c r="B18" i="18512"/>
  <c r="B12" i="18512"/>
  <c r="D10" i="18492"/>
  <c r="D17" i="18501"/>
  <c r="C12" i="18501"/>
  <c r="C10" i="18501"/>
  <c r="E26" i="18492"/>
  <c r="E22" i="18501"/>
  <c r="E23" i="18501"/>
  <c r="D10" i="18501"/>
  <c r="D27" i="18492"/>
  <c r="X10" i="18525" l="1"/>
  <c r="Y10" i="18525"/>
  <c r="X6" i="18525"/>
  <c r="Y6" i="18525"/>
  <c r="X8" i="18525"/>
  <c r="Y8" i="18525"/>
  <c r="W11" i="18525"/>
  <c r="Y5" i="18525"/>
  <c r="X5" i="18525"/>
  <c r="Y7" i="18525"/>
  <c r="X7" i="18525"/>
  <c r="E27" i="18492"/>
  <c r="E38" i="18492" s="1"/>
  <c r="E10" i="18501"/>
  <c r="D38" i="18492"/>
  <c r="D20" i="18501"/>
  <c r="D12" i="18501"/>
  <c r="D14" i="18501"/>
  <c r="D18" i="18501"/>
  <c r="D15" i="185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TuSoft</author>
  </authors>
  <commentList>
    <comment ref="C49" authorId="0" shapeId="0" xr:uid="{D756EB96-1DA3-47D2-BB84-7139A51DB5B9}">
      <text>
        <r>
          <rPr>
            <b/>
            <sz val="9"/>
            <color indexed="81"/>
            <rFont val="Tahoma"/>
            <family val="2"/>
          </rPr>
          <t>TuSoft:</t>
        </r>
        <r>
          <rPr>
            <sz val="9"/>
            <color indexed="81"/>
            <rFont val="Tahoma"/>
            <family val="2"/>
          </rPr>
          <t xml:space="preserve">
Se identifica que las cifras estan bien ingresadas, solo hay variacion, puesto que, el Patrimonio y Egresos no concuerdan  con los Activos</t>
        </r>
      </text>
    </comment>
  </commentList>
</comments>
</file>

<file path=xl/sharedStrings.xml><?xml version="1.0" encoding="utf-8"?>
<sst xmlns="http://schemas.openxmlformats.org/spreadsheetml/2006/main" count="1859" uniqueCount="474">
  <si>
    <t>RESUMEN ESTADOS FINANCIEROS CONSOLIDADOS primer semestre del año 2023*</t>
  </si>
  <si>
    <t>INDICE</t>
  </si>
  <si>
    <t>No. PÁGINA</t>
  </si>
  <si>
    <t>CONCEPTO</t>
  </si>
  <si>
    <t>CUADRO 1</t>
  </si>
  <si>
    <t>EMPRESAS DE TRANSPORTE AÉREO
 COBERTURA  AÑO 2022</t>
  </si>
  <si>
    <t>CUADRO 2</t>
  </si>
  <si>
    <t xml:space="preserve">EMPRESAS DE TRANSPORTE AEREO   ESTADOS FINANCIEROS CONSOLIDADOS  AÑO 2022 </t>
  </si>
  <si>
    <t>CUADRO 3</t>
  </si>
  <si>
    <t>EMPRESAS DE TRANSPORTE AEREO   -  COEFICIENTES FINANCIEROS  CONSOLIDADOS  AÑO 2022</t>
  </si>
  <si>
    <t>CUADRO 4</t>
  </si>
  <si>
    <t xml:space="preserve">EMPRESAS DE TRANSPORTE AEREO REGULAR DE PASAJEROS - ESTADOS FINANCIEROS CONSOLIDADOS AÑO 2022 </t>
  </si>
  <si>
    <t>CUADRO 5</t>
  </si>
  <si>
    <t>EMPRESAS DE TRANSPORTE AEREO REGULAR DE PASAJEROS - COEFICIENTES FINANCIEROS  - AÑO 2022</t>
  </si>
  <si>
    <t>CUADRO 6</t>
  </si>
  <si>
    <t>EMPRESAS DE TRANSPORTE AÉREO REGULAR DE CARGA  - ESTADOS FINANCIEROS CONSOLIDADOS  AÑO 2022</t>
  </si>
  <si>
    <t>CUADRO 7</t>
  </si>
  <si>
    <t>EMPRESAS DE TRANSPORTE AÉREO REGULAR DE CARGA  - COEFICIENTES FINANCIEROS   AÑO 2022</t>
  </si>
  <si>
    <t>CUADRO 8</t>
  </si>
  <si>
    <t>EMPRESAS DE TRANSPORTE NO REGULAR AEROTAXIS  - ESTADOS FINANCIEROS  AÑO  2022</t>
  </si>
  <si>
    <t>CUADRO 9</t>
  </si>
  <si>
    <t>EMPRESAS DE TRANSPORTE NO REGULAR AEROTAXIS - COEFICIENTES FINANCIEROS  AÑO 2022</t>
  </si>
  <si>
    <t>CUADRO No. 1</t>
  </si>
  <si>
    <t xml:space="preserve">MODALIDAD </t>
  </si>
  <si>
    <t>EMPRESAS ACTIVAS</t>
  </si>
  <si>
    <t>ESTADOS FINANCIEROS RECIBIDOS</t>
  </si>
  <si>
    <t xml:space="preserve">No. </t>
  </si>
  <si>
    <t>PART.%</t>
  </si>
  <si>
    <t>No.</t>
  </si>
  <si>
    <t>% COBERTURA</t>
  </si>
  <si>
    <t>TRANSPORTE AEREO REGULAR DE PASAJEROS</t>
  </si>
  <si>
    <t>COMERCIAL CARGA</t>
  </si>
  <si>
    <t xml:space="preserve"> TRANSPORTE AEROTAXIS </t>
  </si>
  <si>
    <t>TOTAL</t>
  </si>
  <si>
    <t>CUADRO N° 2</t>
  </si>
  <si>
    <t>(Miles de pesos)</t>
  </si>
  <si>
    <t>RUBROS / PERIODOS</t>
  </si>
  <si>
    <t>TRANSPORTE AÉREO REGULAR DE CARGA</t>
  </si>
  <si>
    <t>TRANSPORTE NO REGULAR AEROTAXIS</t>
  </si>
  <si>
    <t>ESTADO DE SITUACIÓN FINANCIERA</t>
  </si>
  <si>
    <t xml:space="preserve"> A  C  T  I  V  O  S </t>
  </si>
  <si>
    <t>ACTIVO CORRIENTE</t>
  </si>
  <si>
    <t>ACTIVO NO CORRIENTE</t>
  </si>
  <si>
    <t>TOTAL ACTIVO</t>
  </si>
  <si>
    <t>P  A  S  I  V  O  S</t>
  </si>
  <si>
    <t>PASIVO CORRIENTE</t>
  </si>
  <si>
    <t>PASIVO NO CORRIENTE</t>
  </si>
  <si>
    <t>TOTAL PASIVO</t>
  </si>
  <si>
    <t xml:space="preserve">P A T R I M O N I O </t>
  </si>
  <si>
    <t>CAPITAL SOCIAL (PAGADO)</t>
  </si>
  <si>
    <t>RESERVAS OBLIGATORIAS</t>
  </si>
  <si>
    <t>RESERVA POR EMISIÓN DE MONEDA EXTRANJERA</t>
  </si>
  <si>
    <t>PRIMA POR EMISIÓN DE ACCIONES</t>
  </si>
  <si>
    <t>REVALORIZACIÓN PATRIMONIO</t>
  </si>
  <si>
    <t>UTILIDAD (PERDIDA) DEL EJERCICIO</t>
  </si>
  <si>
    <t>UTILIDAD (PERDIDAS) ACUMULADAS</t>
  </si>
  <si>
    <t>ADOPCIÓN NIIF</t>
  </si>
  <si>
    <t>SUPERAVIT POR VALORIZACIONES</t>
  </si>
  <si>
    <t>ORI</t>
  </si>
  <si>
    <t>TOTAL PATRIMONIO</t>
  </si>
  <si>
    <t>TOTAL PASIVO Y PATRIMONIO</t>
  </si>
  <si>
    <t>INGRESOS OPERACIONALES</t>
  </si>
  <si>
    <t>(-) COSTOS</t>
  </si>
  <si>
    <t>(-) GASTOS OPERACIONALES</t>
  </si>
  <si>
    <t>UTILIDAD (PERDIDA) OPERACIONAL</t>
  </si>
  <si>
    <t>(+) OTROS INGRESOS</t>
  </si>
  <si>
    <t>(-) OTROS EGRESOS</t>
  </si>
  <si>
    <t>PÉRDIDA ANTES DE IMPUESTO SOBRE LA RENTA</t>
  </si>
  <si>
    <t>IMPUESTOS A LA  RENTA</t>
  </si>
  <si>
    <t>PERDIDA UTILIDAD NETA DEL AÑO</t>
  </si>
  <si>
    <t>CUADRO N° 3</t>
  </si>
  <si>
    <t>D E   L I Q U I D E Z</t>
  </si>
  <si>
    <t>RAZON CORRIENTE:A.Corriente/P.Corriente</t>
  </si>
  <si>
    <t>D E  E N D E U D A M I E N T O</t>
  </si>
  <si>
    <t>PASIVO CORRIENTE / TOTAL PASIVO</t>
  </si>
  <si>
    <t xml:space="preserve">TOTAL PASIVO/PATRIMONIO </t>
  </si>
  <si>
    <t xml:space="preserve">PASIVO LARGO PLAZO/PATRIMONIO </t>
  </si>
  <si>
    <t>TOTAL PASIVO / TOTAL ACTIVO</t>
  </si>
  <si>
    <t>D E  S O L I D E Z</t>
  </si>
  <si>
    <t>TOTAL ACTIVO/TOTAL PASIVO</t>
  </si>
  <si>
    <t>TOTAL ACTIVO/ PASIVO CORRIENTE</t>
  </si>
  <si>
    <t>D E  E S T A B I L I D A D</t>
  </si>
  <si>
    <t>ACTIVO FIJO/ PASIVO LARGO PLAZO</t>
  </si>
  <si>
    <t>ACTIVO TOTAL/ PASIVO TOTAL</t>
  </si>
  <si>
    <t>DE PROPIEDAD DE LA EMPRESA</t>
  </si>
  <si>
    <t>TOTAL PATRIMONIO/TOTAL ACTIVO</t>
  </si>
  <si>
    <t>D E   R E N T A B I L I D A D</t>
  </si>
  <si>
    <t>UTILIDAD OPER./INGRESO OPER.</t>
  </si>
  <si>
    <t>UTILIDAD NETA/INGRESOS TOTALES</t>
  </si>
  <si>
    <t>C A P I T A L   T R A B A J O</t>
  </si>
  <si>
    <t>ACTIVO CORRIENTE-PASIVO CORRIENTE (Miles de pesos)</t>
  </si>
  <si>
    <t>Fuente:  Cuadro No. 2</t>
  </si>
  <si>
    <t>TOTAL MODALIDAD</t>
  </si>
  <si>
    <t>CRISTIAN CABRALES Y CIA SAS</t>
  </si>
  <si>
    <t>CAPITAL SOCIAL</t>
  </si>
  <si>
    <t>OTRAS RESERVAS</t>
  </si>
  <si>
    <t>OTROS</t>
  </si>
  <si>
    <t>ESTADO DE RESULTADOS</t>
  </si>
  <si>
    <t>(+/-) OTROS COMPONENTES DEL RESULTADO INTEGRAL</t>
  </si>
  <si>
    <t>Check Balance</t>
  </si>
  <si>
    <t>Utilidad del Estado Financiero</t>
  </si>
  <si>
    <t>Check PYG</t>
  </si>
  <si>
    <t>Cifras en Pesos</t>
  </si>
  <si>
    <t>Fuente:
Estados Financieros 2022 de las Empresas de Transporte Aéreo Regular de Pasajeros</t>
  </si>
  <si>
    <t>*Balance y Estado de Resultados Provisionales, correspondientes al primer semestre del año 2023</t>
  </si>
  <si>
    <t>L I Q U I D E Z</t>
  </si>
  <si>
    <t>E N D E U D A M I E N T O</t>
  </si>
  <si>
    <t>S O L I D E Z</t>
  </si>
  <si>
    <t>E S T A B I L I D A D</t>
  </si>
  <si>
    <t>PROPIEDAD DE LA EMPRESA</t>
  </si>
  <si>
    <t>R E N T A B I L I D A D</t>
  </si>
  <si>
    <t>CUADRO N° 6</t>
  </si>
  <si>
    <t>AEROLÍNEA DEL CARIBE S.A. - AER CARIBE S.A.</t>
  </si>
  <si>
    <t>AEROLÍNEAS ANDINAS S.A. - ALIANSA</t>
  </si>
  <si>
    <t>AEROSUCRE S.A.</t>
  </si>
  <si>
    <t>LANCO - LINEAS AEREA DE COLOMBIA</t>
  </si>
  <si>
    <t xml:space="preserve"> LAS - LINEAS AEREAS SURAMERICANAS</t>
  </si>
  <si>
    <t>TAMPA</t>
  </si>
  <si>
    <t>ESTADO DE SITUACION FINANCIERA</t>
  </si>
  <si>
    <t>Fuente: 
Estados Financieros 2022 de las Empresas de Transporte Aéreo de Carga</t>
  </si>
  <si>
    <t>ok</t>
  </si>
  <si>
    <t>miles de pesos</t>
  </si>
  <si>
    <t>CUADRO N° 7</t>
  </si>
  <si>
    <t>LANCO LINEAS AEREAS DE COLOMBIA</t>
  </si>
  <si>
    <t xml:space="preserve"> LAS LINEAS AEREAS SURAMERICANAS</t>
  </si>
  <si>
    <t>Fuente:  Cuadro No. 6</t>
  </si>
  <si>
    <t>CUADRO N° 8</t>
  </si>
  <si>
    <t>AEROSERVICIOS ESPECIALIZADO SAS ASES SAS</t>
  </si>
  <si>
    <t>AEROTAXI GUAYMARAL</t>
  </si>
  <si>
    <t>AEROEJECUTIVOS DE ANTIOQUIA S.A.</t>
  </si>
  <si>
    <t>AERO EXPRESS SAS</t>
  </si>
  <si>
    <t>STARBLUE AIRLINES - ANTES AEROGALAN - LINEAS AEREAS GALAN SAS</t>
  </si>
  <si>
    <t xml:space="preserve">AEROLINEAS LLANERAS ARALL LTDA </t>
  </si>
  <si>
    <t xml:space="preserve">AEROLINEAS PETROLERAS SAS ALPES </t>
  </si>
  <si>
    <t>AEROPACA SAS</t>
  </si>
  <si>
    <t>AEROTAXI DEL UPIA SAS</t>
  </si>
  <si>
    <t xml:space="preserve">  AEROVIAS REGIONALES DEL ORIENTE S.A.S ARO S.A.S</t>
  </si>
  <si>
    <t xml:space="preserve">AVIANLINE CHARTER´S SAS
</t>
  </si>
  <si>
    <t>AVIOCESAR LTDA</t>
  </si>
  <si>
    <t>CHARTER DEL CARIBE S.A.S</t>
  </si>
  <si>
    <t>CUSTOM AVIATION SAS ANTES HELIFLY</t>
  </si>
  <si>
    <t>DELTA HELICÓPTEROS S.A.S</t>
  </si>
  <si>
    <t>GOOD FLY</t>
  </si>
  <si>
    <t>AVIACION ESPECIALIZADA HANGAR 29</t>
  </si>
  <si>
    <t>HELICOL S.A.S</t>
  </si>
  <si>
    <t>NATIV AIR S.A.S. antes  "HELIAV S.A.S."</t>
  </si>
  <si>
    <t xml:space="preserve">HELIGOLFO S.A. </t>
  </si>
  <si>
    <t>HELISERVICE SAS</t>
  </si>
  <si>
    <t>HELISTAR LTDA</t>
  </si>
  <si>
    <t>HELISUR SAS</t>
  </si>
  <si>
    <t>HORIZONTAL DE AVIACIÓN S.A.S. en reorganización FLEXAIR S.A.S</t>
  </si>
  <si>
    <t>INTERNACIONAL EJECUTIVA DE AVIACION S.A.S.
“INTEREJECUTIVA”</t>
  </si>
  <si>
    <t>LANS S.A.S. LINEAS AEREAS DEL NORTE DE SANTANDER S.A.S.</t>
  </si>
  <si>
    <t>LATINOAMERICANA DE SERVICIOS AEREO S.A.S. LASER AEREO S.A.S.</t>
  </si>
  <si>
    <t>LLANERA DE AVIACION S.A.</t>
  </si>
  <si>
    <t>AEROLINEAS DEL LLANO SAS ALLAS</t>
  </si>
  <si>
    <t>PACIFICA DE AVIACION</t>
  </si>
  <si>
    <t>RIO SUR S.A.</t>
  </si>
  <si>
    <t>SAE SERVICIOS AÉREOS ESPECIALES GLOBAL LIFE AMBULANCIAS S.A.S.</t>
  </si>
  <si>
    <t>SAVIARE LTDA  (SERVICIOS AEREOS DEL GUAVIARE LTDA</t>
  </si>
  <si>
    <t>SARPA
SERVICIOS AEREOS PANAMERICANOS S.A.S.</t>
  </si>
  <si>
    <t xml:space="preserve">SERVICIOS INTEGRALES HELICOPORTADOS S.A.S. -SICHER HELICOPTERS S.A.S </t>
  </si>
  <si>
    <t xml:space="preserve">SIS SOLUCIONES INTEGRALES GNSS S.A.S </t>
  </si>
  <si>
    <t>SASA Colombia S.A.  SOCIEDAD AERONAUTICA DE  SANTANDER</t>
  </si>
  <si>
    <t>TAERCO - TAXI AEREO COLOMBIANO LTDA.</t>
  </si>
  <si>
    <t>VERTICAL DE AVIACION LTDA</t>
  </si>
  <si>
    <t>Fuente:
Estados Financieros 2022 de las Empresas de Transporte Aéreo No Regular Aerotaxis</t>
  </si>
  <si>
    <t>Observación: 
Las siguientes empresas no enviaron estados financieros 2022
AEROLINEAS PETROLERAS SAS ALPES
AEROVIAS REGIONALES DEL ORIENTE S.A.S ARO S.A.S
HELISUR SAS
HORIZONTAL DE AVIACIÓN S.A.S. en reorganización FLEXAIR S.A.S
LATINOAMERICANA DE SERVICIOS AEREO S.A.S. LASER AEREO S.A.S.
CUSTOM AVIATION SAS ANTES HELIFLY - Estado de Resultados</t>
  </si>
  <si>
    <t>CUADRO N° 9</t>
  </si>
  <si>
    <t>TOTAL MODALIDAD AEROTAXIS</t>
  </si>
  <si>
    <t xml:space="preserve">AERUPÍA SAS </t>
  </si>
  <si>
    <t xml:space="preserve">AVIANLINE
</t>
  </si>
  <si>
    <t>CHARTER DEL CARIBE S.A.</t>
  </si>
  <si>
    <t xml:space="preserve">DELTA HELICOPTEROS </t>
  </si>
  <si>
    <t>HELISERVICE LTDA (SERVICIOS AEREOS)</t>
  </si>
  <si>
    <t>HORIZONTAL DE AVIACIÓN S.A.S. en reorganización 
FLEXAIR S.A.S</t>
  </si>
  <si>
    <t>INTERNACIONAL EJECUTIVA DE AVIACION S.A.S.</t>
  </si>
  <si>
    <t>SARPA</t>
  </si>
  <si>
    <t xml:space="preserve">SICHER HELICOPTERS S.A.S </t>
  </si>
  <si>
    <t xml:space="preserve">SIS SOLUCIONES INTEGRALES GNSS S A S </t>
  </si>
  <si>
    <t>Fuente:  Cuadro No. 8</t>
  </si>
  <si>
    <t>SUPERAVIT DE CAPITAL</t>
  </si>
  <si>
    <t>INVERSIÓN SUPLEMENTARIA A CAPITAL</t>
  </si>
  <si>
    <t>RESULTADO INTEGRAL</t>
  </si>
  <si>
    <t>Regular Internacional</t>
  </si>
  <si>
    <t>Aerotaxis</t>
  </si>
  <si>
    <t>Centros de instrucción</t>
  </si>
  <si>
    <t>Centros de Instrucción</t>
  </si>
  <si>
    <t>Talleres</t>
  </si>
  <si>
    <t>Handling</t>
  </si>
  <si>
    <t>Trabajos Aereos Especiales</t>
  </si>
  <si>
    <t>Carga Internacional</t>
  </si>
  <si>
    <t>Regular Nacional</t>
  </si>
  <si>
    <t>Especial de Carga</t>
  </si>
  <si>
    <t>ACTIVO CORRIENTE-PASIVO CORRIENTE (Cifras en Pesos)</t>
  </si>
  <si>
    <t>RAZON CORRIENTE:
Activo Corriente/Pasivo Corriente</t>
  </si>
  <si>
    <t>INDICADORES FINANCIEROS</t>
  </si>
  <si>
    <t>Carga Nacional</t>
  </si>
  <si>
    <t>2- ESCUELA DE INSTRUCCIÓN AERONAUTICA LTDA</t>
  </si>
  <si>
    <t>3- ESCUELA INTERCONTINENTAL DE 
AVIACION SAS</t>
  </si>
  <si>
    <t>4- CENTAUROS ESCUELA DE AVIACIÓN LTDA</t>
  </si>
  <si>
    <t>10- GLOBAL TRAINING AVIATION COLOMBIA SAS</t>
  </si>
  <si>
    <t>12- CENTRO AERONAUTICO CEFIRO SAS</t>
  </si>
  <si>
    <t>13- AIR TRAINING INDUSTRY SAS</t>
  </si>
  <si>
    <t>14- AIRCRAFT TRAINING CENTER SAS
NIT 900415887-2</t>
  </si>
  <si>
    <t>15- ACADEMIA ANTIOQUEÑA DE AVIACIÓN SAS</t>
  </si>
  <si>
    <t>4- ABX AIR INC SUCURSAL COLOMBIANA</t>
  </si>
  <si>
    <t>6- UNITED PARCEL SERVICE CO SUCURSAL COLOMBIA</t>
  </si>
  <si>
    <t>9- COMPAÑÍA INTERNACIONAL DE MANTENIMIENTO  CIMA SAS</t>
  </si>
  <si>
    <t>10- MANTENIMIENTO AEREO INTEGRAL</t>
  </si>
  <si>
    <t>1- AEROLINEAS DEL LLANO ALLA SAS</t>
  </si>
  <si>
    <t>2- LLANERA DE AVIACIÓN SAS</t>
  </si>
  <si>
    <t>3- NATIV AIR SAS</t>
  </si>
  <si>
    <t>19- CHARTER DEL CARIBE SAS</t>
  </si>
  <si>
    <t>20- ALLIANCE AVIATION COLOMBIA SAS</t>
  </si>
  <si>
    <t>24- AVIONES DEL CESAR SAS</t>
  </si>
  <si>
    <t>27- PACIFICA DE AVIACION SAS
NIT 830,514,084-6</t>
  </si>
  <si>
    <t>28- AVIATEC SAS</t>
  </si>
  <si>
    <t>30- SYNERJET LATINA</t>
  </si>
  <si>
    <t>VARIACIÓN</t>
  </si>
  <si>
    <t>ACTIVO</t>
  </si>
  <si>
    <t>PASIVO</t>
  </si>
  <si>
    <t>PATRIMONIO</t>
  </si>
  <si>
    <t>COSTOS</t>
  </si>
  <si>
    <t>GASTOS OPERACIONALES</t>
  </si>
  <si>
    <t>Empresa</t>
  </si>
  <si>
    <t>Ingresos 2022</t>
  </si>
  <si>
    <t>Ingresos 2023</t>
  </si>
  <si>
    <t>AVIANCA</t>
  </si>
  <si>
    <t>Utilidad Operacional 2022</t>
  </si>
  <si>
    <t>Utilidad Operacional 2023</t>
  </si>
  <si>
    <t>Check</t>
  </si>
  <si>
    <t>% Participación Ingresos sobre el Total 2022</t>
  </si>
  <si>
    <t>% Participación Ingresos sobre el Total 2023</t>
  </si>
  <si>
    <t>% Participación sobre el Total 2022</t>
  </si>
  <si>
    <t>% Participación sobre el Total 2023</t>
  </si>
  <si>
    <t>Activos 2022</t>
  </si>
  <si>
    <t>Activos 2023</t>
  </si>
  <si>
    <t>Pasivos 2022</t>
  </si>
  <si>
    <t>Pasivos 2023</t>
  </si>
  <si>
    <t>Patrimonio 2022</t>
  </si>
  <si>
    <t>Patrimonio 2023</t>
  </si>
  <si>
    <t>ESTADO DE RESULTADOS INTEGRAL</t>
  </si>
  <si>
    <t>Analisis 1</t>
  </si>
  <si>
    <t>Analisis 2</t>
  </si>
  <si>
    <t>Gráficos Empresas Regulares Nacionales</t>
  </si>
  <si>
    <t>Cifras en Pesos Colombianos</t>
  </si>
  <si>
    <t>Cifras en Pesos Colombianos
No presenta PYG pero en las notas reporta ingresos y gastos y utilidad que no se refleja en Patrimonio</t>
  </si>
  <si>
    <t>13- TALLERES PARA REPARACIÓN Y MANTENIMIENTO DE AVIONES LTDA</t>
  </si>
  <si>
    <t>14- TALLER DE REPARACIÓN DE AVIONES REAVI LTDA</t>
  </si>
  <si>
    <t>CLIC</t>
  </si>
  <si>
    <t>SATENA</t>
  </si>
  <si>
    <t>LATAM</t>
  </si>
  <si>
    <t>Utilidad Neta 2022</t>
  </si>
  <si>
    <t>Utilidad Neta 2023</t>
  </si>
  <si>
    <t>FUMIGACIÓN</t>
  </si>
  <si>
    <t>AEROFOTOGRAFIA</t>
  </si>
  <si>
    <t>Empresa Regular Internacional</t>
  </si>
  <si>
    <t>Agencia de Viajes No</t>
  </si>
  <si>
    <t>No clasifica</t>
  </si>
  <si>
    <t>Cifras Convertidas a Millones de Pesos Colombianos</t>
  </si>
  <si>
    <t>1- ACADEMIA NACIONAL DE AVIACIÓN SAS</t>
  </si>
  <si>
    <t>23- Grupo Nukak SAS</t>
  </si>
  <si>
    <t>1- AEROSAN SAS</t>
  </si>
  <si>
    <t xml:space="preserve">5- SAC SERVICIOS AERONAUTICOS DE COLOMBIA SAS
ESTADO DE SITUACIÓN FINANCIERA </t>
  </si>
  <si>
    <t>17- LABORATORIOS AEROBENSO Y CIA LTDA</t>
  </si>
  <si>
    <t>34- HELICOPTEROS AGRICOLAS DE COLOMBIA SAS</t>
  </si>
  <si>
    <t>35- HELICE LTDA</t>
  </si>
  <si>
    <t>4- AlXCALIBUR MULTIPHYSICS COLOMBIA SAS
NIT 830000657-1</t>
  </si>
  <si>
    <t xml:space="preserve">8- COMPAÑÍA AEROFUMIGACIONES CALIMA SAS
NIT: </t>
  </si>
  <si>
    <t>15- FUMIGACIÓN AEREA DEL ORIENTE SAS</t>
  </si>
  <si>
    <t>16- SERVICIOS AEROAGRICOLAS DEL CASANARE</t>
  </si>
  <si>
    <t>17- COMPAÑÍA ESPECIALIZADA EN TRABAJOS AERO AGRICOLAS SAS</t>
  </si>
  <si>
    <t>18- LATIN AMERICAN AIR TECHNOLOGY - LAIRTEC SAS</t>
  </si>
  <si>
    <t>19- COMPAÑIA AEROAGRICOLA DE LOS LLANOS SAS</t>
  </si>
  <si>
    <t>20- AEROESTUDIOS SAS</t>
  </si>
  <si>
    <t>2- LATAM AIRLINES GROUP SA SUCURSAL COLOMBIA</t>
  </si>
  <si>
    <t>6- AIR CANADA SUCURSAL COLOMBIA</t>
  </si>
  <si>
    <t>19- AEROLINEAS ARGENTINAS SOCIEDAD ANONIMA</t>
  </si>
  <si>
    <t>23- UNITED AIRLINES INC
NIT: 900496730 - 1</t>
  </si>
  <si>
    <t>SIATO LTDA 
NIT 800240794-0</t>
  </si>
  <si>
    <t>INVERSIONES AEREAS INVERSA SAS
NIT: 860034917-5</t>
  </si>
  <si>
    <t>DANGEROUS GOODS MANAGEMENT COLOMBIA SAS
NIT: 900831808-4</t>
  </si>
  <si>
    <t>FANTURS SAS</t>
  </si>
  <si>
    <t>UTILIDAD OPER/INGRESO OPER</t>
  </si>
  <si>
    <t>OBSERVACIÓN
FAST COLOMBIA - No envió Estados Financieros año 2022, ni Provisionales, correspondientes al primer semestre del año 2023
EASY FLY - No envió Estados Financieros Provisionales, correspondientes al primer semestre del año 2023</t>
  </si>
  <si>
    <t>Var Absoluta</t>
  </si>
  <si>
    <t>Var Ingresos 2023 - 2022</t>
  </si>
  <si>
    <t>% Var Utilidad Operacional 2023 - 2022</t>
  </si>
  <si>
    <t>Var Absoluta Activos</t>
  </si>
  <si>
    <t>% Var Activos 2023 - 2022</t>
  </si>
  <si>
    <t>Var Absoluta Pasivos</t>
  </si>
  <si>
    <t>% Var Pasivos 2023 - 2022</t>
  </si>
  <si>
    <t>Var Absoluta Patrimonio</t>
  </si>
  <si>
    <t>% Var Patrimonio
2023 - 2022</t>
  </si>
  <si>
    <t>AEROREPUBLICA SA</t>
  </si>
  <si>
    <t>REGIONAL EXPRESS 
AMERICAS SAS</t>
  </si>
  <si>
    <t>1- AEROVÍAS DEL CONTINENTE AMERICANO SA AVIANCA 
NIT 890100577-6</t>
  </si>
  <si>
    <t>1- Tampa Cargo SAS 
NIT 890912462-2</t>
  </si>
  <si>
    <t>2- LÍNEA AÉREA CARGUERA DE COLOMBIA S A - LANCO S A</t>
  </si>
  <si>
    <t>3- AEROSUCRE SA
NIT 890115166-8</t>
  </si>
  <si>
    <t>1- LATAM AIRLINES ECUADOR SA SUCURSAL COLOMBIA
NIT 901554189-9</t>
  </si>
  <si>
    <t>4- Sky Airline Perú SAC Sucursal Colombia
NIT: 860007369-4</t>
  </si>
  <si>
    <t>5- Sky Airline SA Sucursal Colombia
NIT: 901368737-8</t>
  </si>
  <si>
    <t>7- Air Transat AT INC Sucursal Colombia</t>
  </si>
  <si>
    <t>9- AVIANCA COSTA RICA SA SUCURSAL COLOMBIA
NIT 892400030-4</t>
  </si>
  <si>
    <t>10- Avianca Ecuador SA Sucursal Colombia 
NIT 9000881121</t>
  </si>
  <si>
    <t>11- Avianca Perú SA Sucursal Colombia 
NIT 830078083-8</t>
  </si>
  <si>
    <t>12- Taca Internacional Airlines SA Sucursal Colombia 
NIT: 900460506-2</t>
  </si>
  <si>
    <t>13- Aviateca Sociedad Anónima Sucursal Colombia 
NIT 800203260-2</t>
  </si>
  <si>
    <t>14- IBERIA LINEAS AEREAS DE ESPAÑA SA</t>
  </si>
  <si>
    <t>16- VUELA AVIACIÓN SA SUCURSAL COLOMBIA
NIT: 901493376-7</t>
  </si>
  <si>
    <t>17- AEROVIAS DE MEXICO SA
AEROMEXICO SUCURSAL COLOMBIA
NIT: 900254148-6</t>
  </si>
  <si>
    <t>20- EZ AIR SUCURSAL COLOMBIA
NIT 901346819-9</t>
  </si>
  <si>
    <t>21- TURKISH AIRLINES INC SUCURSAL COLOMBIA 
Nit 900958911-1</t>
  </si>
  <si>
    <t>22- JETBLUE AIRWAYS CORPORATION SUCURSAL COLOMBIA
NIT: 900254399 - 8</t>
  </si>
  <si>
    <t>24- SOCIEDAD AIR FRANCE
Nit 860007369-4</t>
  </si>
  <si>
    <t>25- LINEA AEREA DE SERVICIO EJECUTIVO LASER CA SUCURSAL COLOMBIA</t>
  </si>
  <si>
    <t>1- Federal Express Corporation Sucursal Colombia
NIT 830017271-5</t>
  </si>
  <si>
    <t>2- ATLAS AIR INC SUCURSAL COLOMBIA</t>
  </si>
  <si>
    <t>3- AEROTRANSPORTES MAS DE CARGA SA DE CV MAS AIR SUCURSAL COLOMBIA
NIT: 830045397-3</t>
  </si>
  <si>
    <t>5- MARTINAIR HOLLAND N V SUCURSAL COLOMBIANA
Nit 800244085-5</t>
  </si>
  <si>
    <t>8-  LAN CARGO SUCURSAL COLOMBIA SA</t>
  </si>
  <si>
    <t>9- ABSA AEROLINHAS BRASILEIRAS SA SUCURSAL COLOMBIA
 NIT 830028633-5</t>
  </si>
  <si>
    <t xml:space="preserve"> SA</t>
  </si>
  <si>
    <t>4- AEROVIAS REGIONALES DEL ORIENTE SAS
NIT 800086107 - 0</t>
  </si>
  <si>
    <t>5- AEROEXPRESS SAS
NIT: 811033782</t>
  </si>
  <si>
    <t>6- SERVICIO AEREO DE CAPURGANA SA</t>
  </si>
  <si>
    <t>7- DELTA HELICOPTEROS SAS
NIT: 900226716</t>
  </si>
  <si>
    <t>8- Helistar SAS
NIT: 811020344-6</t>
  </si>
  <si>
    <t>9- AEROVIAS REGIONALES DEL ORIENTE SAS
NIT: 800086107 - 0</t>
  </si>
  <si>
    <t>10- HELISERVICE SAS
NIT 800053544-4</t>
  </si>
  <si>
    <t>11- SERVICIOS AEREOS DEL GUAVIARE LTDA
NIT 800152647-9</t>
  </si>
  <si>
    <t>13- SERVICIO AEREO DE LA ORINOQUIA SAS
NIT 901527740-3</t>
  </si>
  <si>
    <t>14- ISATECH CORPORATION SAS
NIT 900292243-1</t>
  </si>
  <si>
    <t>15- HELIJET SAS
NIT: 830108998-1</t>
  </si>
  <si>
    <t>16- HELIGOLFO SAS</t>
  </si>
  <si>
    <t>17- HELICENTRO SAS</t>
  </si>
  <si>
    <t>18- HANGAR 29 SAS
NIT: 900713438-7</t>
  </si>
  <si>
    <t>21- RIO SUR SAS
NIT: 800149580-3</t>
  </si>
  <si>
    <t>22- AERO TAXI GUAYMARAL ATG SAS
NIT 900142183-X</t>
  </si>
  <si>
    <t>23- AVIANLINE CHAERTERS SAS
NIT: 901076189-8</t>
  </si>
  <si>
    <t>25- AEROLINEAS LLANERAS ARALL LTDA
NIT 892001725 - 2</t>
  </si>
  <si>
    <t>26- AEROEJECUTIVOS DE ANTIOQUIA SAS
NIT: 811030546-1</t>
  </si>
  <si>
    <t>29- INTERNACIONAL EJECUTIVA DE AVIACIÓN SAS</t>
  </si>
  <si>
    <t>32- GOOD FLY CO SAS
NIT: 900638251-6</t>
  </si>
  <si>
    <t>33- SOLAIR SAS
NIT 805019730</t>
  </si>
  <si>
    <t xml:space="preserve">36- SERVICIOS AEREOS PANAMERICANOS SAS </t>
  </si>
  <si>
    <t>1- AEROLINEAS ANDINA SA
NIT: 800075291-0</t>
  </si>
  <si>
    <t>1- AFA DE COLOMBIA LTDA
NIT 832004948-3</t>
  </si>
  <si>
    <t>2- SAE SERVICIOS AEREOS ESPECIALES
GLOBAL LIFE AMBULANCIAS SAS
NIT: 900518251-1</t>
  </si>
  <si>
    <t>3- COMPAÑÍA  DE ASPERSIONES AEREAS CONTROL B SAS ZOMAC</t>
  </si>
  <si>
    <t>5- MG MEDICAL GROUP SAS
NIT 900088052-6</t>
  </si>
  <si>
    <t>6- FOTO RUDOLF SAS
NIT 860001185-9</t>
  </si>
  <si>
    <t>7- SERVICIOS AGRICOLAS FIBA SAS
Nit890701748-8</t>
  </si>
  <si>
    <t>10- SANIDAD VEGETAL CRUZ VERDE SAS
NIT: 890700446-4</t>
  </si>
  <si>
    <t>11- GYG SERVICIO AEREO DE FUMIGACION AGRÍCOLA SAS
NIT: 901209184-4</t>
  </si>
  <si>
    <t>13- ASPERCIONES TECNICAS DEL CAMPO LTDA
NIT822004051-6</t>
  </si>
  <si>
    <t>14- AGRICOLA DE SERVICIOS AEREOS DEL META SAS
NIT: 892002992-7</t>
  </si>
  <si>
    <t>21- FAAC FUMIGACION AEROAGRICOLA COLOMBIANA SAS
NIT 900480363-1</t>
  </si>
  <si>
    <t>22- FUMIGARAY SAS</t>
  </si>
  <si>
    <t>23- AERO SANIDAD AGRICOLA SAS</t>
  </si>
  <si>
    <t>24- SERVICIO DE FUMIGACION AEREA DEL CASANARE SFA LTDA
NIT: 832000122-9</t>
  </si>
  <si>
    <t>25- SANIDAD AEROAGRICOLA SANAR SAS
NIT 891102350-4</t>
  </si>
  <si>
    <t>26- AIR MEDICAL SERVICE SAS 
NIT: 901144173-2</t>
  </si>
  <si>
    <t>1- NGC AVIONICA E INSTRUMENTOS ANDINOS LTDA
NIT 900729853-0</t>
  </si>
  <si>
    <t>2- RIO SUR AVIATION SERVICE SAS
NIT: 830118800-5</t>
  </si>
  <si>
    <t>3- AEROSERVICIOS TÉCNICOS SAS
NIT: 900157179-9</t>
  </si>
  <si>
    <t>4- LABORATORIO DE COMUNICACIÓN Y NAVEGACIÓN LTDA
NIT: 800052308-8</t>
  </si>
  <si>
    <t>5- TALLER AERONAUTICO SAE SAS
NIT 901196352 - 6</t>
  </si>
  <si>
    <t>6- TALLERES DE AVIACIÓN DEL PACIFICO SAS
NIT: NIT 890312262 – 1</t>
  </si>
  <si>
    <t>8- Helistar Technical Center SAS
NIT: 900869294-3</t>
  </si>
  <si>
    <t>11- ARO REPARACIONES SAS - TALLERES DE MANTENIMIENTO
NIT: 900971628-5</t>
  </si>
  <si>
    <t>12- TALLER AERONAUTICO AEROCCIDENTE SAS
NIT 900688431-9</t>
  </si>
  <si>
    <t xml:space="preserve">15- CORPORACION DE LA INDUSTRIA AERONAUTICA 
 COLOMBIANA SA – CIAC SA </t>
  </si>
  <si>
    <t>16- DMARCO AEREO SAS
NIT 900238192-3</t>
  </si>
  <si>
    <t>18- LA SA Sociedad de Apoyo Aeronáutico SA</t>
  </si>
  <si>
    <t>19- AERO ALIANZA FABRICACIÓN AVIONES AGRÍCOLAS ALS SAS
NIT: 900749411 - 4</t>
  </si>
  <si>
    <t>20- AEROLAMINAS SAS
NIT 900641290</t>
  </si>
  <si>
    <t>21- AVIOPARTES SAS</t>
  </si>
  <si>
    <t>22- INTEGRATED ENERGINEERING SERVICES SAS
NIT: 900263422-8</t>
  </si>
  <si>
    <t>23- NUKAK MANTENIIUIENTO AERONAUTICO SAS
NIT: 901545969-9</t>
  </si>
  <si>
    <t>24- CENTRAL AEROSPACE SAS</t>
  </si>
  <si>
    <t>25- AVIONICA DE OCCIDENTE LTDA</t>
  </si>
  <si>
    <t>26- BLUE NEVO SAS
NIT: 830065768-8</t>
  </si>
  <si>
    <t>2- COMPAÑÍA DE SERVICIOS AEROPORTUARIOS GOLDEN FLIGHT LTDA
NIT: 900227148-1</t>
  </si>
  <si>
    <t>3- Servicios Aeroportuarios Integrados SAI SAS</t>
  </si>
  <si>
    <t>4- ACI CARGO LOGISTICA SAS
NIT: 890103820-5</t>
  </si>
  <si>
    <t>6- RAFAEL ESPINOSA G Y CIA SAS
Nit 800202447</t>
  </si>
  <si>
    <t>5- ESCUELA DE AVIACIÓN INEC SAS 
NIT 816001000-5</t>
  </si>
  <si>
    <t>6- CARIBBEAN FLIGHT SCHOOL SAS
NIT800225025-2</t>
  </si>
  <si>
    <t>7- ESCUELA DE FORMACIÓN AERONAUTICA EFA SAS
NIT 900858789-1</t>
  </si>
  <si>
    <t>8- PROTECNICA CENTRO DE ENTRENAMIENTO AERONAUTICO SAS
NIT 890108139-1</t>
  </si>
  <si>
    <t>9- INSTITUTO DE ESTUDIOS TÉCNICOS AERONAUTICOS SAS
NIT 800147209 - 6</t>
  </si>
  <si>
    <t>16- AVIANLINE TRAINING SAS
NIT: 900293249-8</t>
  </si>
  <si>
    <t>17- ESCUELA COLOMBIANA DE AVIADORES CIVILES
CENTRO EMPRESARIAL AERONÁUTICO
García Acevedo Ltda Nit860501753-8</t>
  </si>
  <si>
    <t>18 -CNV VOLAR SAS
NIT: 900619757-1</t>
  </si>
  <si>
    <t>19- ACADEMIA DE AVIACIÓN INTERNACIONAL SAS
NIT: 900336159-1</t>
  </si>
  <si>
    <t>20- AEROOCCIDENTE ESCUELA DE AVIACIÓN
NIT: 805027577-5</t>
  </si>
  <si>
    <t>21- FALCON ACADEMIA DE AVIACIÓN SAS</t>
  </si>
  <si>
    <t>22- INSTITUTO EDUCATIVO AERONÁUTICO DE COLOMBIA SAS
NIT: 900412075-5</t>
  </si>
  <si>
    <t>24- CAE COLOMBIA FLIGHT TRAINING SAS</t>
  </si>
  <si>
    <t>25- Academia de Pilotaje de Aviones y Helicópteros Limitada 
NIT: 800060182-0</t>
  </si>
  <si>
    <t>26- PANAMERICAN TRAINING CENTER SAS
NIT: 900678547-1</t>
  </si>
  <si>
    <t>27- Academia de Aviones y Helicopteros de Colombia ADAHCOL SAS
NIT: 900628526-3</t>
  </si>
  <si>
    <t>28- AERONOVA ACADEMY SAS
NIT: 901143571</t>
  </si>
  <si>
    <t>27- Servicios Aereos Especiales LTDA
NIT: 805.003.500-5</t>
  </si>
  <si>
    <t>12- SOCIEDAD AERONAUTICA DE SANTANDER SAS
NIT: 800.043.763-8</t>
  </si>
  <si>
    <t>30- SMART AVIATION SERVICES S.A.S. BIC
NIT. 900.533.608-1</t>
  </si>
  <si>
    <t>29- ESCUELA DE AVIACION CIVIL COLOMBIANA AVIACOL SAS
NIT: 900.090.606-2</t>
  </si>
  <si>
    <t>Taller</t>
  </si>
  <si>
    <t>26- KLM COMPAÑIA REAL HOLANDESA DE AVIACION
SUCURSAL COLOMBIA
NIT 860009876-6</t>
  </si>
  <si>
    <t>27- Compañía Panameña de Aviación SA - Copa Airlines</t>
  </si>
  <si>
    <t>10- QATAR AIRWAYS SUCURSAL COLOMBIA
NIT 901.418.117 – 7</t>
  </si>
  <si>
    <t>28- NGC AVIONICA E INSTRUMENTOS ANDINOS LTDA
NIT. 900.729.853-0</t>
  </si>
  <si>
    <t>29- RETEAEREOS S.A.S
NIT: 832.010.438-3</t>
  </si>
  <si>
    <t>30- MARCAPASOS SAS
NIT 800.040.011-4</t>
  </si>
  <si>
    <t>37- AEROTAXI DEL UPIA SAS
NIT 800213471-2</t>
  </si>
  <si>
    <t>38- SERVICIO AÉREO DEL ORIENTE S.A.S. - SAO S.A.S. Nit. 822,001,727-2</t>
  </si>
  <si>
    <t>39- AEROLINEA REGIONAL DE COLOMBIA SAS
NIT 800115731-2</t>
  </si>
  <si>
    <t>40- AEROESTAR LTDA
NIT 900132478-8</t>
  </si>
  <si>
    <t>41- HELICÓPTEROS NACIONALES DE COLOMBIA SAS EN REORGANIZACIÓN- HELICOL SAS</t>
  </si>
  <si>
    <t>42- HELICES DEL META SAS
NIT 892.002.838 - 0</t>
  </si>
  <si>
    <t>43- Internacional Ejecutiva de Aviación SAS</t>
  </si>
  <si>
    <t>44- LINEAS AEREAS DEL NORTE DE SANTANDER LANS SAS</t>
  </si>
  <si>
    <t>45- SERVICIOS INTEGRALES HELICOPORTADOS S.A.S SICHER
NIT: 800.055.561-9</t>
  </si>
  <si>
    <t>46- SERVICIOS AEREOS ESPECIALIZADOS EN TRANSPORTES PETROLEROS
NIT: 860.075.359</t>
  </si>
  <si>
    <t>47- SIS SOLUCIONES INTEGRALES GNSS S.A.S
NIT: 830.126.135-9</t>
  </si>
  <si>
    <t>31- ACAHEL SERVICES S.A.S</t>
  </si>
  <si>
    <t>31- OPEN FLY SAS</t>
  </si>
  <si>
    <t>32- ACADEMIA DE PILOTOS DE AVIACION S.A.</t>
  </si>
  <si>
    <t>33- AEROMECH S.A.S</t>
  </si>
  <si>
    <t>34- AVIATION TRAINING SERVICE SAS</t>
  </si>
  <si>
    <t>DIVIDENDOS O PARTICIPACIONES</t>
  </si>
  <si>
    <t>28- FUMICAÑA LTDA
NIT 900.198.225-5</t>
  </si>
  <si>
    <t>32- PRECISO ELECTRONICA S.A.S
NIT 800.035.407-7</t>
  </si>
  <si>
    <t>2024 Semestre 1</t>
  </si>
  <si>
    <t>8- LATAM AIRLINES PERU SA SUCURSAL COLOMBIA
NIT.830.125.539-6</t>
  </si>
  <si>
    <t>3- AEROREPUBLICA SA - (WINGO)</t>
  </si>
  <si>
    <t>2- AEROVIAS DE INTEGRACIÓN REGIONAL AIRES SA- LATAM COLOMBIA SA - (AIRES)
NIT 890.704.196-6</t>
  </si>
  <si>
    <t>6- REGIONAL EXPRESS AMERICAS SAS 
NIT: 901187193-4 - (AVIANCA EXPRESS)</t>
  </si>
  <si>
    <t>5- SERVICIO AÉREO A TERRITORIOS NACIONALES SA - (SATENA SA)</t>
  </si>
  <si>
    <t>4- EMPRESA AEREA DE SERVICIOS Y FACILITACIÓN LOGISTICA INTEGRAL SA - CLIC AIR - (EASY FLY)</t>
  </si>
  <si>
    <t>3- TAM LINHAS 
AÉREAS S A SUCURSAL COLOMBIA
NIT: 900391540-7</t>
  </si>
  <si>
    <t>15- CONCESIONARIA VUELA COMPANÍA DE AVIACIÓN SAPI DE CV SUC COLOMBIA
NIT:901484850-9</t>
  </si>
  <si>
    <t>18- PLUS ULTRA LINEAS AEREAS SA SUCURSAL COLOMBIA
NIT: 901346830</t>
  </si>
  <si>
    <t>35- CAMPER AERONAUTICAL SAS
NIT. 901..385.287-7</t>
  </si>
  <si>
    <t>OBSERVACIÓN
FAST COLOMBIA - No envió Estados Financieros año 2022 ni Provisionales correspondientes al primer semestre del año 2023
EASY FLY - No envió Estados Financieros Provisionales correspondientes al primer semestre del año 2023</t>
  </si>
  <si>
    <t>*Balance y Estado de Resultados Provisionales correspondientes al primer semestre del año 2023</t>
  </si>
  <si>
    <t>9- COMERCIALIZADORA ECO SAS
NIT 822001320-9</t>
  </si>
  <si>
    <t>12- AERO AGROPECUARIA DEL NORTE SAS
NIT: 860044406-6</t>
  </si>
  <si>
    <t>7- SOCIEDAD AERONAUTICA DE
INTEGRACION TECNICA SAS
NIT: 900183373</t>
  </si>
  <si>
    <t>11- CORPORACION EDUCATIVA INDOAMERICANA SAS
NIT 800022076-6</t>
  </si>
  <si>
    <t>29- SERVICIOS AEREOS ULTRALIVIANOS S.A.S
NIT 844.004.994-6</t>
  </si>
  <si>
    <t>33- TOOLBOX SERVICES MRO SAS</t>
  </si>
  <si>
    <t>34- AERO TECNICA SAS
NIT, 860,016,114-1</t>
  </si>
  <si>
    <t>48- AERO LLANOS DEL ORIENTE SAS
NIT: 830.126.135-9</t>
  </si>
  <si>
    <t>35- COLOMBIAN TURBINE ENGINE COMPANY. S.A.S
NIT 900.346.128-4</t>
  </si>
  <si>
    <t>36- INSPECCION AERONAUTICA DE COLOMBIA SAS
NIT.900.019.652-0</t>
  </si>
  <si>
    <t>30- FUMIGACIONES AEREAS GAVIOTAS CIA LIMITADA
NIT: 8 0 0 0 8 2 7 9 2-8</t>
  </si>
  <si>
    <t>28- GOL LINHAS AEREAS SAS
NIT: 900123125-5</t>
  </si>
  <si>
    <t>7- AEREO TRANSPORTE DE CARGA UNION SA
NIT: 901068422-6</t>
  </si>
  <si>
    <t>EMPRESAS DE TALLERES - ESTADOS FINANCIEROS</t>
  </si>
  <si>
    <t>EMPRESAS DE CENTROS DE INSTRUCCIÓN- ESTADOS FINANCIEROS</t>
  </si>
  <si>
    <t>EMPRESAS ESPECIALES DE CARGA - ESTADOS FINANCIEROS</t>
  </si>
  <si>
    <t>EMPRESAS DE AEROTAXIS - ESTADOS FINANCIEROS</t>
  </si>
  <si>
    <t>EMPRESAS DE CARGA INTERNACIONAL - ESTADOS FINANCIEROS</t>
  </si>
  <si>
    <t>EMPRESAS REGULARES DE TRANSPORTE AEREO INTERNACIONAL - ESTADOS FINANCIEROS</t>
  </si>
  <si>
    <t>EMPRESAS DE CARGA NACIONAL - ESTADOS FINANCIEROS</t>
  </si>
  <si>
    <t>EMPRESAS REGULARES NACIONALES DE TRANSPORTE AÉREO - ESTADOS FINANCIEROS</t>
  </si>
  <si>
    <t>EMPRESAS DE TRABAJOS AÉREOS ESPECIALES- ESTADOS FINANCIEROS</t>
  </si>
  <si>
    <t>27- Industrial Aeronáutica SAS
NIT: 811032967-6</t>
  </si>
  <si>
    <t xml:space="preserve">EMPRESAS DE SERVICIOS AEROPORTUARIOS (HANDLING) - ESTADOS FINANCIEROS </t>
  </si>
  <si>
    <t>31- Taxi Aéreo Colombiano TAERCO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</si>
</sst>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quot;$&quot;* #,##0.00_-;_-&quot;$&quot;* &quot;-&quot;??_-;_-@_-"/>
    <numFmt numFmtId="166" formatCode="0.0%"/>
    <numFmt numFmtId="167" formatCode="_-* #,##0_-;\-* #,##0_-;_-* &quot;-&quot;??_-;_-@_-"/>
    <numFmt numFmtId="168" formatCode="#,##0,"/>
  </numFmts>
  <fonts count="26" x14ac:knownFonts="1">
    <font>
      <sz val="10"/>
      <name val="Arial"/>
    </font>
    <font>
      <sz val="10"/>
      <name val="Arial"/>
      <family val="2"/>
    </font>
    <font>
      <sz val="10"/>
      <name val="Arial"/>
      <family val="2"/>
    </font>
    <font>
      <b/>
      <sz val="9"/>
      <color rgb="FF002060"/>
      <name val="Arial"/>
      <family val="2"/>
    </font>
    <font>
      <sz val="9"/>
      <color rgb="FF002060"/>
      <name val="Arial"/>
      <family val="2"/>
    </font>
    <font>
      <b/>
      <u/>
      <sz val="9"/>
      <color rgb="FF002060"/>
      <name val="Arial"/>
      <family val="2"/>
    </font>
    <font>
      <sz val="9"/>
      <color theme="4" tint="-0.499984740745262"/>
      <name val="Arial"/>
      <family val="2"/>
    </font>
    <font>
      <b/>
      <sz val="9"/>
      <color theme="0"/>
      <name val="Arial"/>
      <family val="2"/>
    </font>
    <font>
      <sz val="9"/>
      <color theme="0"/>
      <name val="Arial"/>
      <family val="2"/>
    </font>
    <font>
      <b/>
      <i/>
      <sz val="9"/>
      <color rgb="FF002060"/>
      <name val="Arial"/>
      <family val="2"/>
    </font>
    <font>
      <b/>
      <sz val="9"/>
      <color theme="4" tint="-0.499984740745262"/>
      <name val="Arial"/>
      <family val="2"/>
    </font>
    <font>
      <sz val="9"/>
      <color rgb="FFFF0000"/>
      <name val="Arial"/>
      <family val="2"/>
    </font>
    <font>
      <b/>
      <sz val="9"/>
      <color rgb="FFFF0000"/>
      <name val="Arial"/>
      <family val="2"/>
    </font>
    <font>
      <b/>
      <sz val="10"/>
      <name val="Arial"/>
      <family val="2"/>
    </font>
    <font>
      <b/>
      <sz val="9"/>
      <name val="Arial"/>
      <family val="2"/>
    </font>
    <font>
      <sz val="9"/>
      <color indexed="81"/>
      <name val="Tahoma"/>
      <family val="2"/>
    </font>
    <font>
      <b/>
      <sz val="9"/>
      <color indexed="81"/>
      <name val="Tahoma"/>
      <family val="2"/>
    </font>
    <font>
      <sz val="9"/>
      <name val="Arial"/>
      <family val="2"/>
    </font>
    <font>
      <sz val="9"/>
      <color rgb="FF000000"/>
      <name val="Arial"/>
      <family val="2"/>
    </font>
    <font>
      <b/>
      <sz val="11"/>
      <color rgb="FF002060"/>
      <name val="Arial"/>
      <family val="2"/>
    </font>
    <font>
      <sz val="10"/>
      <color theme="1"/>
      <name val="Tahoma"/>
      <family val="2"/>
    </font>
    <font>
      <b/>
      <sz val="10"/>
      <color theme="1"/>
      <name val="Tahoma"/>
      <family val="2"/>
    </font>
    <font>
      <b/>
      <sz val="10"/>
      <color theme="0"/>
      <name val="Arial"/>
      <family val="2"/>
    </font>
    <font>
      <sz val="10"/>
      <color theme="0"/>
      <name val="Arial"/>
      <family val="2"/>
    </font>
    <font>
      <b/>
      <sz val="14"/>
      <color theme="7" tint="-0.249977111117893"/>
      <name val="Arial"/>
      <family val="2"/>
    </font>
    <font>
      <b/>
      <sz val="11"/>
      <color theme="7" tint="-0.249977111117893"/>
      <name val="Arial"/>
      <family val="2"/>
    </font>
  </fonts>
  <fills count="11">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3" tint="-0.249977111117893"/>
        <bgColor indexed="64"/>
      </patternFill>
    </fill>
    <fill>
      <patternFill patternType="solid">
        <fgColor theme="7" tint="-0.249977111117893"/>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diagonal/>
    </border>
    <border>
      <left/>
      <right style="thin">
        <color theme="0"/>
      </right>
      <top/>
      <bottom style="thin">
        <color theme="0"/>
      </bottom>
      <diagonal/>
    </border>
  </borders>
  <cellStyleXfs count="7">
    <xf numFmtId="0" fontId="0" fillId="0" borderId="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 fillId="0" borderId="0"/>
    <xf numFmtId="9" fontId="1" fillId="0" borderId="0" applyFont="0" applyFill="0" applyBorder="0" applyAlignment="0" applyProtection="0"/>
    <xf numFmtId="0" fontId="20" fillId="0" borderId="0"/>
  </cellStyleXfs>
  <cellXfs count="389">
    <xf numFmtId="0" fontId="0" fillId="0" borderId="0" xfId="0"/>
    <xf numFmtId="0" fontId="3" fillId="2" borderId="1" xfId="0" applyFont="1" applyFill="1" applyBorder="1" applyAlignment="1">
      <alignment horizontal="center" vertical="center"/>
    </xf>
    <xf numFmtId="0" fontId="4" fillId="0" borderId="0" xfId="0" applyFont="1"/>
    <xf numFmtId="0" fontId="4" fillId="0" borderId="0" xfId="0" applyFont="1" applyAlignment="1">
      <alignment horizontal="left"/>
    </xf>
    <xf numFmtId="0" fontId="3" fillId="0" borderId="0" xfId="0" applyFont="1"/>
    <xf numFmtId="164" fontId="4" fillId="3" borderId="0" xfId="0" applyNumberFormat="1" applyFont="1" applyFill="1"/>
    <xf numFmtId="37" fontId="3" fillId="4" borderId="1" xfId="0" applyNumberFormat="1" applyFont="1" applyFill="1" applyBorder="1" applyAlignment="1">
      <alignment horizontal="left"/>
    </xf>
    <xf numFmtId="37" fontId="4" fillId="0" borderId="0" xfId="0" applyNumberFormat="1" applyFont="1" applyAlignment="1">
      <alignment horizontal="right"/>
    </xf>
    <xf numFmtId="37" fontId="4" fillId="0" borderId="0" xfId="0" applyNumberFormat="1" applyFont="1" applyAlignment="1">
      <alignment horizontal="left"/>
    </xf>
    <xf numFmtId="37" fontId="4" fillId="0" borderId="0" xfId="0" applyNumberFormat="1" applyFont="1"/>
    <xf numFmtId="37" fontId="4" fillId="3" borderId="0" xfId="0" applyNumberFormat="1" applyFont="1" applyFill="1" applyAlignment="1">
      <alignment horizontal="left"/>
    </xf>
    <xf numFmtId="37" fontId="3" fillId="3" borderId="0" xfId="0" applyNumberFormat="1" applyFont="1" applyFill="1" applyAlignment="1">
      <alignment horizontal="left"/>
    </xf>
    <xf numFmtId="37" fontId="5" fillId="3" borderId="0" xfId="0" applyNumberFormat="1" applyFont="1" applyFill="1" applyAlignment="1">
      <alignment horizontal="left"/>
    </xf>
    <xf numFmtId="37" fontId="4" fillId="3" borderId="0" xfId="0" quotePrefix="1" applyNumberFormat="1" applyFont="1" applyFill="1" applyAlignment="1">
      <alignment horizontal="left"/>
    </xf>
    <xf numFmtId="0" fontId="3" fillId="3" borderId="0" xfId="0" applyFont="1" applyFill="1" applyAlignment="1">
      <alignment vertical="center"/>
    </xf>
    <xf numFmtId="164" fontId="4" fillId="3" borderId="0" xfId="0" applyNumberFormat="1" applyFont="1" applyFill="1" applyAlignment="1">
      <alignment horizontal="right"/>
    </xf>
    <xf numFmtId="37" fontId="3" fillId="0" borderId="0" xfId="0" applyNumberFormat="1" applyFont="1" applyAlignment="1">
      <alignment horizontal="left"/>
    </xf>
    <xf numFmtId="0" fontId="4" fillId="3" borderId="0" xfId="0" applyFont="1" applyFill="1"/>
    <xf numFmtId="10" fontId="3" fillId="2" borderId="1" xfId="0" applyNumberFormat="1" applyFont="1" applyFill="1" applyBorder="1" applyAlignment="1">
      <alignment horizontal="right"/>
    </xf>
    <xf numFmtId="166" fontId="4" fillId="0" borderId="0" xfId="0" applyNumberFormat="1" applyFont="1"/>
    <xf numFmtId="166" fontId="3" fillId="0" borderId="0" xfId="0" applyNumberFormat="1" applyFont="1"/>
    <xf numFmtId="37" fontId="3" fillId="3" borderId="0" xfId="0" applyNumberFormat="1" applyFont="1" applyFill="1" applyAlignment="1">
      <alignment horizontal="center"/>
    </xf>
    <xf numFmtId="37" fontId="4" fillId="3" borderId="0" xfId="0" applyNumberFormat="1" applyFont="1" applyFill="1" applyAlignment="1">
      <alignment horizontal="center" vertical="center"/>
    </xf>
    <xf numFmtId="37" fontId="4" fillId="3" borderId="0" xfId="0" quotePrefix="1" applyNumberFormat="1" applyFont="1" applyFill="1" applyAlignment="1">
      <alignment horizontal="center" vertical="center"/>
    </xf>
    <xf numFmtId="0" fontId="4" fillId="3" borderId="0" xfId="0" applyFont="1" applyFill="1" applyAlignment="1">
      <alignment vertical="center"/>
    </xf>
    <xf numFmtId="37" fontId="4" fillId="3" borderId="0" xfId="0" applyNumberFormat="1" applyFont="1" applyFill="1" applyAlignment="1">
      <alignment vertical="center"/>
    </xf>
    <xf numFmtId="164" fontId="4" fillId="3" borderId="0" xfId="0" applyNumberFormat="1" applyFont="1" applyFill="1" applyAlignment="1">
      <alignment vertical="center"/>
    </xf>
    <xf numFmtId="38" fontId="4" fillId="3" borderId="0" xfId="3" applyNumberFormat="1" applyFont="1" applyFill="1" applyBorder="1" applyAlignment="1" applyProtection="1">
      <alignment vertical="center"/>
    </xf>
    <xf numFmtId="164" fontId="3" fillId="4" borderId="1" xfId="0" applyNumberFormat="1" applyFont="1" applyFill="1" applyBorder="1" applyAlignment="1">
      <alignment vertical="center"/>
    </xf>
    <xf numFmtId="3" fontId="3" fillId="4" borderId="1" xfId="0" applyNumberFormat="1" applyFont="1" applyFill="1" applyBorder="1" applyAlignment="1">
      <alignment vertical="center"/>
    </xf>
    <xf numFmtId="0" fontId="3" fillId="0" borderId="0" xfId="0" applyFont="1" applyAlignment="1">
      <alignment horizontal="left"/>
    </xf>
    <xf numFmtId="0" fontId="4" fillId="0" borderId="0" xfId="0" applyFont="1" applyAlignment="1">
      <alignment horizontal="center" vertical="center"/>
    </xf>
    <xf numFmtId="0" fontId="4" fillId="3" borderId="0" xfId="0" applyFont="1" applyFill="1" applyAlignment="1">
      <alignment horizontal="center" vertical="center"/>
    </xf>
    <xf numFmtId="3" fontId="4" fillId="0" borderId="0" xfId="0" applyNumberFormat="1" applyFont="1" applyAlignment="1">
      <alignment horizontal="center" vertical="center"/>
    </xf>
    <xf numFmtId="37" fontId="3" fillId="3" borderId="0" xfId="0" applyNumberFormat="1" applyFont="1" applyFill="1" applyAlignment="1">
      <alignment horizontal="left" vertical="center"/>
    </xf>
    <xf numFmtId="37" fontId="5" fillId="3" borderId="0" xfId="0" applyNumberFormat="1" applyFont="1" applyFill="1" applyAlignment="1">
      <alignment horizontal="left" vertical="center"/>
    </xf>
    <xf numFmtId="37" fontId="4" fillId="3" borderId="0" xfId="0" applyNumberFormat="1" applyFont="1" applyFill="1" applyAlignment="1">
      <alignment horizontal="left" vertical="center"/>
    </xf>
    <xf numFmtId="37" fontId="3" fillId="5" borderId="2" xfId="0" applyNumberFormat="1" applyFont="1" applyFill="1" applyBorder="1" applyAlignment="1">
      <alignment horizontal="left" vertical="center"/>
    </xf>
    <xf numFmtId="37" fontId="4" fillId="3" borderId="0" xfId="0" quotePrefix="1" applyNumberFormat="1" applyFont="1" applyFill="1" applyAlignment="1">
      <alignment horizontal="left" vertical="center"/>
    </xf>
    <xf numFmtId="37" fontId="3" fillId="4" borderId="3" xfId="0" applyNumberFormat="1" applyFont="1" applyFill="1" applyBorder="1" applyAlignment="1">
      <alignment horizontal="left" vertical="center"/>
    </xf>
    <xf numFmtId="37" fontId="5" fillId="3" borderId="4" xfId="0" applyNumberFormat="1" applyFont="1" applyFill="1" applyBorder="1" applyAlignment="1">
      <alignment horizontal="left" vertical="center"/>
    </xf>
    <xf numFmtId="37" fontId="4" fillId="3" borderId="4" xfId="0" applyNumberFormat="1" applyFont="1" applyFill="1" applyBorder="1" applyAlignment="1">
      <alignment horizontal="left" vertical="center"/>
    </xf>
    <xf numFmtId="37" fontId="3" fillId="4" borderId="1" xfId="0" applyNumberFormat="1" applyFont="1" applyFill="1" applyBorder="1" applyAlignment="1">
      <alignment horizontal="left" vertical="center"/>
    </xf>
    <xf numFmtId="168" fontId="4" fillId="3" borderId="0" xfId="3" applyNumberFormat="1" applyFont="1" applyFill="1" applyBorder="1" applyAlignment="1" applyProtection="1">
      <alignment horizontal="center" vertical="center"/>
    </xf>
    <xf numFmtId="168" fontId="3" fillId="5" borderId="1" xfId="3" applyNumberFormat="1" applyFont="1" applyFill="1" applyBorder="1" applyAlignment="1" applyProtection="1">
      <alignment horizontal="center" vertical="center"/>
    </xf>
    <xf numFmtId="168" fontId="4" fillId="3" borderId="0" xfId="0" applyNumberFormat="1" applyFont="1" applyFill="1" applyAlignment="1">
      <alignment horizontal="center" vertical="center"/>
    </xf>
    <xf numFmtId="168" fontId="3" fillId="3" borderId="0" xfId="3" applyNumberFormat="1" applyFont="1" applyFill="1" applyBorder="1" applyAlignment="1" applyProtection="1">
      <alignment horizontal="center" vertical="center"/>
    </xf>
    <xf numFmtId="168" fontId="3" fillId="3" borderId="0" xfId="0" applyNumberFormat="1" applyFont="1" applyFill="1" applyAlignment="1">
      <alignment horizontal="center" vertical="center"/>
    </xf>
    <xf numFmtId="168" fontId="3" fillId="4" borderId="1" xfId="0" applyNumberFormat="1" applyFont="1" applyFill="1" applyBorder="1" applyAlignment="1">
      <alignment horizontal="center" vertical="center"/>
    </xf>
    <xf numFmtId="168" fontId="4" fillId="4" borderId="1" xfId="0" applyNumberFormat="1" applyFont="1" applyFill="1" applyBorder="1" applyAlignment="1">
      <alignment horizontal="center" vertical="center"/>
    </xf>
    <xf numFmtId="168" fontId="4" fillId="3" borderId="0" xfId="1" applyNumberFormat="1" applyFont="1" applyFill="1" applyBorder="1" applyAlignment="1" applyProtection="1">
      <alignment horizontal="center" vertical="center"/>
    </xf>
    <xf numFmtId="168" fontId="3" fillId="3" borderId="0" xfId="0" applyNumberFormat="1" applyFont="1" applyFill="1" applyAlignment="1">
      <alignment vertical="center"/>
    </xf>
    <xf numFmtId="168" fontId="4" fillId="3" borderId="0" xfId="0" applyNumberFormat="1" applyFont="1" applyFill="1" applyAlignment="1">
      <alignment vertical="center"/>
    </xf>
    <xf numFmtId="168" fontId="3" fillId="5" borderId="1" xfId="0" applyNumberFormat="1" applyFont="1" applyFill="1" applyBorder="1" applyAlignment="1">
      <alignment horizontal="center" vertical="center"/>
    </xf>
    <xf numFmtId="168" fontId="3" fillId="3" borderId="0" xfId="1" applyNumberFormat="1" applyFont="1" applyFill="1" applyBorder="1" applyAlignment="1">
      <alignment horizontal="center" vertical="center"/>
    </xf>
    <xf numFmtId="168" fontId="3" fillId="5" borderId="1" xfId="1" applyNumberFormat="1" applyFont="1" applyFill="1" applyBorder="1" applyAlignment="1">
      <alignment horizontal="center" vertical="center"/>
    </xf>
    <xf numFmtId="168" fontId="3" fillId="3" borderId="0" xfId="1" applyNumberFormat="1" applyFont="1" applyFill="1" applyBorder="1" applyAlignment="1" applyProtection="1">
      <alignment horizontal="center" vertical="center"/>
    </xf>
    <xf numFmtId="168" fontId="3" fillId="5" borderId="1" xfId="1" applyNumberFormat="1" applyFont="1" applyFill="1" applyBorder="1" applyAlignment="1" applyProtection="1">
      <alignment horizontal="center" vertical="center"/>
    </xf>
    <xf numFmtId="168" fontId="4" fillId="3" borderId="0" xfId="1" applyNumberFormat="1" applyFont="1" applyFill="1" applyBorder="1" applyAlignment="1">
      <alignment horizontal="center" vertical="center"/>
    </xf>
    <xf numFmtId="168" fontId="3" fillId="5" borderId="1" xfId="0" applyNumberFormat="1" applyFont="1" applyFill="1" applyBorder="1" applyAlignment="1">
      <alignment vertical="center"/>
    </xf>
    <xf numFmtId="168" fontId="4" fillId="3" borderId="0" xfId="1" applyNumberFormat="1" applyFont="1" applyFill="1" applyAlignment="1">
      <alignment vertical="center"/>
    </xf>
    <xf numFmtId="37" fontId="3" fillId="0" borderId="0" xfId="0" applyNumberFormat="1" applyFont="1" applyAlignment="1">
      <alignment horizontal="center"/>
    </xf>
    <xf numFmtId="37" fontId="3" fillId="2" borderId="1" xfId="0" applyNumberFormat="1" applyFont="1" applyFill="1" applyBorder="1" applyAlignment="1">
      <alignment horizontal="center" vertical="center"/>
    </xf>
    <xf numFmtId="37" fontId="3" fillId="3" borderId="0" xfId="0" applyNumberFormat="1" applyFont="1" applyFill="1" applyAlignment="1">
      <alignment horizontal="center" vertical="center"/>
    </xf>
    <xf numFmtId="37" fontId="3" fillId="2" borderId="1" xfId="0" applyNumberFormat="1" applyFont="1" applyFill="1" applyBorder="1" applyAlignment="1">
      <alignment horizontal="left" vertical="center"/>
    </xf>
    <xf numFmtId="37"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9" fontId="4" fillId="0" borderId="1" xfId="5" applyFont="1" applyBorder="1" applyAlignment="1">
      <alignment horizontal="center" vertical="center"/>
    </xf>
    <xf numFmtId="9" fontId="3" fillId="2" borderId="1" xfId="5" applyFont="1" applyFill="1" applyBorder="1" applyAlignment="1">
      <alignment horizontal="center" vertical="center"/>
    </xf>
    <xf numFmtId="0" fontId="4" fillId="0" borderId="0" xfId="0" applyFont="1" applyAlignment="1">
      <alignment horizontal="center"/>
    </xf>
    <xf numFmtId="0" fontId="4" fillId="3" borderId="5" xfId="0" applyFont="1" applyFill="1" applyBorder="1"/>
    <xf numFmtId="0" fontId="6" fillId="3" borderId="6" xfId="0" applyFont="1" applyFill="1" applyBorder="1" applyAlignment="1">
      <alignment horizontal="left"/>
    </xf>
    <xf numFmtId="0" fontId="6" fillId="3" borderId="7" xfId="0" applyFont="1" applyFill="1" applyBorder="1"/>
    <xf numFmtId="0" fontId="6" fillId="3" borderId="8" xfId="0" applyFont="1" applyFill="1" applyBorder="1" applyAlignment="1">
      <alignment horizontal="left"/>
    </xf>
    <xf numFmtId="0" fontId="6" fillId="3" borderId="5" xfId="0" applyFont="1" applyFill="1" applyBorder="1"/>
    <xf numFmtId="0" fontId="6" fillId="3" borderId="9" xfId="0" applyFont="1" applyFill="1" applyBorder="1" applyAlignment="1">
      <alignment horizontal="left"/>
    </xf>
    <xf numFmtId="0" fontId="6" fillId="3" borderId="10" xfId="0" applyFont="1" applyFill="1" applyBorder="1"/>
    <xf numFmtId="37" fontId="3" fillId="3" borderId="0" xfId="0" applyNumberFormat="1" applyFont="1" applyFill="1" applyAlignment="1">
      <alignment vertical="center"/>
    </xf>
    <xf numFmtId="37" fontId="4" fillId="3" borderId="0" xfId="0" applyNumberFormat="1" applyFont="1" applyFill="1"/>
    <xf numFmtId="0" fontId="3" fillId="3" borderId="0" xfId="0" applyFont="1" applyFill="1"/>
    <xf numFmtId="37" fontId="3" fillId="4" borderId="1" xfId="0" applyNumberFormat="1" applyFont="1" applyFill="1" applyBorder="1" applyAlignment="1">
      <alignment vertical="center"/>
    </xf>
    <xf numFmtId="37" fontId="4" fillId="0" borderId="0" xfId="0" applyNumberFormat="1" applyFont="1" applyAlignment="1">
      <alignment horizontal="left" vertical="center"/>
    </xf>
    <xf numFmtId="0" fontId="4" fillId="0" borderId="0" xfId="0" applyFont="1" applyAlignment="1">
      <alignment vertical="center"/>
    </xf>
    <xf numFmtId="164" fontId="4" fillId="3" borderId="0" xfId="0" applyNumberFormat="1" applyFont="1" applyFill="1" applyAlignment="1">
      <alignment horizontal="right" vertical="center"/>
    </xf>
    <xf numFmtId="0" fontId="4" fillId="3" borderId="0" xfId="0" applyFont="1" applyFill="1" applyAlignment="1">
      <alignment horizontal="center"/>
    </xf>
    <xf numFmtId="10" fontId="4" fillId="3" borderId="1" xfId="0" applyNumberFormat="1" applyFont="1" applyFill="1" applyBorder="1" applyAlignment="1">
      <alignment horizontal="center" vertical="center"/>
    </xf>
    <xf numFmtId="10" fontId="4" fillId="3" borderId="1" xfId="0" applyNumberFormat="1" applyFont="1" applyFill="1" applyBorder="1" applyAlignment="1" applyProtection="1">
      <alignment horizontal="center" vertical="center"/>
      <protection locked="0"/>
    </xf>
    <xf numFmtId="164" fontId="4" fillId="3" borderId="1" xfId="0" applyNumberFormat="1" applyFont="1" applyFill="1" applyBorder="1" applyAlignment="1">
      <alignment horizontal="center" vertical="center"/>
    </xf>
    <xf numFmtId="0" fontId="4" fillId="2" borderId="0" xfId="0" applyFont="1" applyFill="1" applyAlignment="1">
      <alignment horizontal="center" vertical="center"/>
    </xf>
    <xf numFmtId="37" fontId="3" fillId="2" borderId="1" xfId="0" applyNumberFormat="1" applyFont="1" applyFill="1" applyBorder="1"/>
    <xf numFmtId="167" fontId="4" fillId="0" borderId="1" xfId="1" applyNumberFormat="1" applyFont="1" applyBorder="1" applyAlignment="1" applyProtection="1">
      <alignment vertical="center"/>
    </xf>
    <xf numFmtId="37" fontId="3" fillId="2" borderId="1" xfId="0" applyNumberFormat="1" applyFont="1" applyFill="1" applyBorder="1" applyAlignment="1">
      <alignment vertical="center"/>
    </xf>
    <xf numFmtId="37" fontId="4" fillId="0" borderId="1" xfId="0" applyNumberFormat="1" applyFont="1" applyBorder="1" applyAlignment="1">
      <alignment vertical="center"/>
    </xf>
    <xf numFmtId="37" fontId="4" fillId="0" borderId="1" xfId="0" quotePrefix="1" applyNumberFormat="1" applyFont="1" applyBorder="1" applyAlignment="1">
      <alignment vertical="center"/>
    </xf>
    <xf numFmtId="167" fontId="4" fillId="0" borderId="1" xfId="1" applyNumberFormat="1" applyFont="1" applyBorder="1" applyAlignment="1" applyProtection="1">
      <alignment horizontal="left" vertical="center"/>
    </xf>
    <xf numFmtId="37" fontId="4" fillId="0" borderId="1" xfId="0" applyNumberFormat="1" applyFont="1" applyBorder="1" applyAlignment="1">
      <alignment horizontal="left" vertical="center"/>
    </xf>
    <xf numFmtId="37" fontId="4" fillId="0" borderId="1" xfId="0" quotePrefix="1" applyNumberFormat="1" applyFont="1" applyBorder="1" applyAlignment="1">
      <alignment horizontal="left" vertical="center"/>
    </xf>
    <xf numFmtId="0" fontId="3" fillId="0" borderId="0" xfId="0" applyFont="1" applyAlignment="1">
      <alignment horizontal="left" vertical="top" wrapText="1"/>
    </xf>
    <xf numFmtId="37" fontId="3" fillId="2" borderId="11" xfId="0" applyNumberFormat="1" applyFont="1" applyFill="1" applyBorder="1" applyAlignment="1">
      <alignment horizontal="left" vertical="center"/>
    </xf>
    <xf numFmtId="10" fontId="3" fillId="2" borderId="0" xfId="0" applyNumberFormat="1" applyFont="1" applyFill="1" applyAlignment="1">
      <alignment horizontal="center" vertical="center"/>
    </xf>
    <xf numFmtId="166" fontId="4" fillId="2" borderId="0" xfId="0" applyNumberFormat="1" applyFont="1" applyFill="1" applyAlignment="1">
      <alignment horizontal="center" vertical="center"/>
    </xf>
    <xf numFmtId="10" fontId="4" fillId="2" borderId="0" xfId="0" applyNumberFormat="1" applyFont="1" applyFill="1" applyAlignment="1" applyProtection="1">
      <alignment horizontal="center" vertical="center"/>
      <protection locked="0"/>
    </xf>
    <xf numFmtId="3" fontId="4" fillId="0" borderId="1" xfId="0" quotePrefix="1" applyNumberFormat="1" applyFont="1" applyBorder="1" applyAlignment="1">
      <alignment horizontal="left" vertical="center"/>
    </xf>
    <xf numFmtId="37" fontId="3" fillId="0" borderId="0" xfId="0" applyNumberFormat="1" applyFont="1" applyAlignment="1">
      <alignment vertical="center"/>
    </xf>
    <xf numFmtId="37" fontId="7" fillId="3" borderId="0" xfId="0" applyNumberFormat="1" applyFont="1" applyFill="1" applyAlignment="1">
      <alignment vertical="center"/>
    </xf>
    <xf numFmtId="37" fontId="3" fillId="0" borderId="0" xfId="0" applyNumberFormat="1" applyFont="1"/>
    <xf numFmtId="37" fontId="3" fillId="0" borderId="0" xfId="0" applyNumberFormat="1" applyFont="1" applyAlignment="1">
      <alignment horizontal="right"/>
    </xf>
    <xf numFmtId="37" fontId="4" fillId="0" borderId="0" xfId="0" applyNumberFormat="1" applyFont="1" applyAlignment="1">
      <alignment horizontal="right" vertical="center"/>
    </xf>
    <xf numFmtId="37" fontId="4" fillId="0" borderId="0" xfId="0" applyNumberFormat="1" applyFont="1" applyAlignment="1">
      <alignment vertical="center"/>
    </xf>
    <xf numFmtId="37" fontId="3" fillId="0" borderId="0" xfId="5" applyNumberFormat="1" applyFont="1" applyFill="1" applyBorder="1" applyAlignment="1" applyProtection="1">
      <alignment horizontal="right" vertical="center"/>
    </xf>
    <xf numFmtId="37" fontId="3" fillId="0" borderId="0" xfId="0" applyNumberFormat="1" applyFont="1" applyAlignment="1">
      <alignment horizontal="right" vertical="center"/>
    </xf>
    <xf numFmtId="37" fontId="4" fillId="0" borderId="0" xfId="5" applyNumberFormat="1" applyFont="1" applyFill="1" applyBorder="1" applyAlignment="1" applyProtection="1">
      <alignment horizontal="right" vertical="center"/>
    </xf>
    <xf numFmtId="37" fontId="7" fillId="0" borderId="0" xfId="0" applyNumberFormat="1" applyFont="1"/>
    <xf numFmtId="37" fontId="8" fillId="0" borderId="0" xfId="0" applyNumberFormat="1" applyFont="1"/>
    <xf numFmtId="37" fontId="7" fillId="0" borderId="0" xfId="0" applyNumberFormat="1" applyFont="1" applyAlignment="1">
      <alignment horizontal="left"/>
    </xf>
    <xf numFmtId="37" fontId="4" fillId="0" borderId="0" xfId="0" applyNumberFormat="1" applyFont="1" applyAlignment="1">
      <alignment wrapText="1"/>
    </xf>
    <xf numFmtId="37" fontId="8" fillId="0" borderId="0" xfId="0" applyNumberFormat="1" applyFont="1" applyAlignment="1">
      <alignment wrapText="1"/>
    </xf>
    <xf numFmtId="37" fontId="8" fillId="0" borderId="0" xfId="0" applyNumberFormat="1" applyFont="1" applyAlignment="1">
      <alignment horizontal="left"/>
    </xf>
    <xf numFmtId="37" fontId="4" fillId="0" borderId="0" xfId="0" applyNumberFormat="1" applyFont="1" applyAlignment="1">
      <alignment horizontal="justify" vertical="center" wrapText="1"/>
    </xf>
    <xf numFmtId="37" fontId="4" fillId="0" borderId="0" xfId="0" applyNumberFormat="1" applyFont="1" applyAlignment="1" applyProtection="1">
      <alignment horizontal="right"/>
      <protection locked="0"/>
    </xf>
    <xf numFmtId="37" fontId="3" fillId="0" borderId="0" xfId="0" applyNumberFormat="1" applyFont="1" applyAlignment="1">
      <alignment horizontal="left" vertical="center"/>
    </xf>
    <xf numFmtId="37" fontId="4" fillId="0" borderId="0" xfId="2" applyNumberFormat="1" applyFont="1" applyFill="1" applyBorder="1" applyAlignment="1">
      <alignment horizontal="right"/>
    </xf>
    <xf numFmtId="37" fontId="4" fillId="0" borderId="0" xfId="0" applyNumberFormat="1" applyFont="1" applyProtection="1">
      <protection locked="0"/>
    </xf>
    <xf numFmtId="37" fontId="4" fillId="0" borderId="0" xfId="5" applyNumberFormat="1" applyFont="1" applyFill="1" applyBorder="1" applyAlignment="1" applyProtection="1">
      <alignment horizontal="right"/>
    </xf>
    <xf numFmtId="37" fontId="4" fillId="0" borderId="0" xfId="2" applyNumberFormat="1" applyFont="1" applyFill="1" applyAlignment="1">
      <alignment horizontal="right"/>
    </xf>
    <xf numFmtId="37" fontId="4" fillId="0" borderId="0" xfId="0" applyNumberFormat="1" applyFont="1" applyAlignment="1">
      <alignment horizontal="center" vertical="center"/>
    </xf>
    <xf numFmtId="37" fontId="4" fillId="0" borderId="0" xfId="1" applyNumberFormat="1" applyFont="1" applyAlignment="1">
      <alignment horizontal="center" vertical="center"/>
    </xf>
    <xf numFmtId="37" fontId="9" fillId="3" borderId="0" xfId="0" applyNumberFormat="1" applyFont="1" applyFill="1" applyAlignment="1">
      <alignment horizontal="center" vertical="center"/>
    </xf>
    <xf numFmtId="37" fontId="3" fillId="3" borderId="0" xfId="1" applyNumberFormat="1" applyFont="1" applyFill="1" applyBorder="1" applyAlignment="1">
      <alignment horizontal="center" vertical="center"/>
    </xf>
    <xf numFmtId="37" fontId="4" fillId="3" borderId="0" xfId="3" applyNumberFormat="1" applyFont="1" applyFill="1" applyBorder="1" applyAlignment="1" applyProtection="1">
      <alignment horizontal="center" vertical="center"/>
    </xf>
    <xf numFmtId="37" fontId="4" fillId="3" borderId="0" xfId="3" applyNumberFormat="1" applyFont="1" applyFill="1" applyBorder="1" applyAlignment="1">
      <alignment horizontal="center" vertical="center"/>
    </xf>
    <xf numFmtId="37" fontId="3" fillId="5" borderId="1" xfId="0" applyNumberFormat="1" applyFont="1" applyFill="1" applyBorder="1" applyAlignment="1">
      <alignment horizontal="center" vertical="center"/>
    </xf>
    <xf numFmtId="37" fontId="3" fillId="5" borderId="1" xfId="3" applyNumberFormat="1" applyFont="1" applyFill="1" applyBorder="1" applyAlignment="1" applyProtection="1">
      <alignment vertical="center"/>
    </xf>
    <xf numFmtId="37" fontId="3" fillId="3" borderId="0" xfId="3" applyNumberFormat="1" applyFont="1" applyFill="1" applyBorder="1" applyAlignment="1" applyProtection="1">
      <alignment horizontal="center" vertical="center"/>
    </xf>
    <xf numFmtId="37" fontId="3" fillId="4" borderId="1" xfId="0" applyNumberFormat="1" applyFont="1" applyFill="1" applyBorder="1" applyAlignment="1">
      <alignment horizontal="center" vertical="center"/>
    </xf>
    <xf numFmtId="37" fontId="4" fillId="4" borderId="1" xfId="0" applyNumberFormat="1" applyFont="1" applyFill="1" applyBorder="1" applyAlignment="1">
      <alignment horizontal="center" vertical="center"/>
    </xf>
    <xf numFmtId="37" fontId="8" fillId="3" borderId="0" xfId="0" applyNumberFormat="1" applyFont="1" applyFill="1" applyAlignment="1">
      <alignment horizontal="center" vertical="center"/>
    </xf>
    <xf numFmtId="37" fontId="3" fillId="2" borderId="7" xfId="0" applyNumberFormat="1" applyFont="1" applyFill="1" applyBorder="1" applyAlignment="1">
      <alignment horizontal="center" vertical="center"/>
    </xf>
    <xf numFmtId="37" fontId="3" fillId="2" borderId="2" xfId="0" applyNumberFormat="1" applyFont="1" applyFill="1" applyBorder="1" applyAlignment="1">
      <alignment horizontal="center" vertical="center"/>
    </xf>
    <xf numFmtId="37" fontId="5" fillId="0" borderId="0" xfId="0" applyNumberFormat="1" applyFont="1" applyAlignment="1">
      <alignment horizontal="left" vertical="center"/>
    </xf>
    <xf numFmtId="37" fontId="4" fillId="0" borderId="0" xfId="0" quotePrefix="1" applyNumberFormat="1" applyFont="1" applyAlignment="1">
      <alignment horizontal="left" vertical="center"/>
    </xf>
    <xf numFmtId="0" fontId="6" fillId="3" borderId="0" xfId="0" applyFont="1" applyFill="1"/>
    <xf numFmtId="0" fontId="10" fillId="3" borderId="0" xfId="0" applyFont="1" applyFill="1" applyAlignment="1">
      <alignment horizontal="left"/>
    </xf>
    <xf numFmtId="0" fontId="10" fillId="3" borderId="0" xfId="0" applyFont="1" applyFill="1" applyAlignment="1">
      <alignment horizontal="center"/>
    </xf>
    <xf numFmtId="0" fontId="6" fillId="3" borderId="0" xfId="0" applyFont="1" applyFill="1" applyAlignment="1">
      <alignment horizontal="left"/>
    </xf>
    <xf numFmtId="0" fontId="10" fillId="6" borderId="2" xfId="0" applyFont="1" applyFill="1" applyBorder="1" applyAlignment="1">
      <alignment horizontal="center" vertical="center"/>
    </xf>
    <xf numFmtId="0" fontId="10" fillId="6" borderId="1" xfId="0" applyFont="1" applyFill="1" applyBorder="1" applyAlignment="1">
      <alignment horizontal="center" vertical="center"/>
    </xf>
    <xf numFmtId="0" fontId="4" fillId="3" borderId="0" xfId="0" applyFont="1" applyFill="1" applyAlignment="1">
      <alignment horizontal="left"/>
    </xf>
    <xf numFmtId="0" fontId="3" fillId="3" borderId="0" xfId="0" applyFont="1" applyFill="1" applyAlignment="1">
      <alignment horizontal="center"/>
    </xf>
    <xf numFmtId="9" fontId="3" fillId="3" borderId="0" xfId="5" applyFont="1" applyFill="1" applyBorder="1" applyAlignment="1"/>
    <xf numFmtId="164" fontId="3" fillId="3" borderId="0" xfId="0" applyNumberFormat="1" applyFont="1" applyFill="1" applyAlignment="1">
      <alignment horizontal="left"/>
    </xf>
    <xf numFmtId="164" fontId="3" fillId="3" borderId="0" xfId="0" applyNumberFormat="1" applyFont="1" applyFill="1" applyAlignment="1">
      <alignment horizontal="right"/>
    </xf>
    <xf numFmtId="37" fontId="3" fillId="3" borderId="0" xfId="0" applyNumberFormat="1" applyFont="1" applyFill="1" applyAlignment="1">
      <alignment horizontal="center" vertical="center" wrapText="1"/>
    </xf>
    <xf numFmtId="167" fontId="4" fillId="3" borderId="12" xfId="1" applyNumberFormat="1" applyFont="1" applyFill="1" applyBorder="1" applyAlignment="1" applyProtection="1">
      <alignment horizontal="left"/>
    </xf>
    <xf numFmtId="166" fontId="4" fillId="3" borderId="0" xfId="5" applyNumberFormat="1" applyFont="1" applyFill="1"/>
    <xf numFmtId="167" fontId="4" fillId="3" borderId="0" xfId="1" applyNumberFormat="1" applyFont="1" applyFill="1"/>
    <xf numFmtId="37" fontId="4" fillId="3" borderId="0" xfId="1" applyNumberFormat="1" applyFont="1" applyFill="1" applyAlignment="1">
      <alignment horizontal="center" vertical="center"/>
    </xf>
    <xf numFmtId="37" fontId="4" fillId="3" borderId="0" xfId="5" applyNumberFormat="1" applyFont="1" applyFill="1" applyAlignment="1">
      <alignment horizontal="center" vertical="center"/>
    </xf>
    <xf numFmtId="37" fontId="3" fillId="2" borderId="13" xfId="0" applyNumberFormat="1" applyFont="1" applyFill="1" applyBorder="1" applyAlignment="1">
      <alignment horizontal="center" vertical="center"/>
    </xf>
    <xf numFmtId="37" fontId="3" fillId="4" borderId="13" xfId="0" applyNumberFormat="1" applyFont="1" applyFill="1" applyBorder="1" applyAlignment="1">
      <alignment horizontal="center" vertical="center"/>
    </xf>
    <xf numFmtId="10" fontId="4" fillId="0" borderId="1" xfId="0" applyNumberFormat="1" applyFont="1" applyBorder="1" applyAlignment="1">
      <alignment horizontal="center" vertical="center"/>
    </xf>
    <xf numFmtId="37" fontId="3" fillId="0" borderId="1" xfId="0" applyNumberFormat="1" applyFont="1" applyBorder="1" applyAlignment="1">
      <alignment horizontal="left" vertical="center"/>
    </xf>
    <xf numFmtId="10" fontId="3" fillId="0" borderId="1" xfId="0" applyNumberFormat="1" applyFont="1" applyBorder="1" applyAlignment="1">
      <alignment horizontal="right" vertical="center"/>
    </xf>
    <xf numFmtId="10" fontId="4" fillId="3" borderId="1" xfId="0" applyNumberFormat="1" applyFont="1" applyFill="1" applyBorder="1" applyAlignment="1">
      <alignment horizontal="right" vertical="center"/>
    </xf>
    <xf numFmtId="10" fontId="4" fillId="2" borderId="1" xfId="0" applyNumberFormat="1" applyFont="1" applyFill="1" applyBorder="1" applyAlignment="1" applyProtection="1">
      <alignment horizontal="right" vertical="center"/>
      <protection locked="0"/>
    </xf>
    <xf numFmtId="10" fontId="4" fillId="3" borderId="1" xfId="0" applyNumberFormat="1" applyFont="1" applyFill="1" applyBorder="1" applyAlignment="1" applyProtection="1">
      <alignment horizontal="right" vertical="center"/>
      <protection locked="0"/>
    </xf>
    <xf numFmtId="164" fontId="4" fillId="2" borderId="1" xfId="0" applyNumberFormat="1" applyFont="1" applyFill="1" applyBorder="1" applyAlignment="1">
      <alignment horizontal="right" vertical="center"/>
    </xf>
    <xf numFmtId="0" fontId="4" fillId="3" borderId="0" xfId="0" applyFont="1" applyFill="1" applyAlignment="1">
      <alignment horizontal="right" vertical="center"/>
    </xf>
    <xf numFmtId="9" fontId="4" fillId="3" borderId="0" xfId="5" applyFont="1" applyFill="1" applyBorder="1" applyAlignment="1">
      <alignment vertical="center"/>
    </xf>
    <xf numFmtId="10" fontId="4" fillId="3" borderId="0" xfId="5" applyNumberFormat="1" applyFont="1" applyFill="1" applyBorder="1" applyAlignment="1">
      <alignment vertical="center"/>
    </xf>
    <xf numFmtId="10" fontId="3" fillId="3" borderId="0" xfId="0" applyNumberFormat="1" applyFont="1" applyFill="1" applyAlignment="1">
      <alignment horizontal="right" vertical="center"/>
    </xf>
    <xf numFmtId="167" fontId="4" fillId="3" borderId="0" xfId="1" applyNumberFormat="1" applyFont="1" applyFill="1" applyBorder="1" applyAlignment="1" applyProtection="1">
      <alignment horizontal="left" vertical="center"/>
    </xf>
    <xf numFmtId="10" fontId="4" fillId="3" borderId="0" xfId="0" applyNumberFormat="1" applyFont="1" applyFill="1" applyAlignment="1">
      <alignment horizontal="right" vertical="center"/>
    </xf>
    <xf numFmtId="10" fontId="4" fillId="3" borderId="0" xfId="0" applyNumberFormat="1" applyFont="1" applyFill="1" applyAlignment="1" applyProtection="1">
      <alignment horizontal="right" vertical="center"/>
      <protection locked="0"/>
    </xf>
    <xf numFmtId="1" fontId="4" fillId="3" borderId="0" xfId="1" applyNumberFormat="1" applyFont="1" applyFill="1" applyBorder="1" applyAlignment="1" applyProtection="1">
      <alignment horizontal="right" vertical="center"/>
      <protection locked="0"/>
    </xf>
    <xf numFmtId="167" fontId="3" fillId="3" borderId="0" xfId="1" applyNumberFormat="1" applyFont="1" applyFill="1" applyBorder="1" applyAlignment="1" applyProtection="1">
      <alignment horizontal="center" vertical="center"/>
    </xf>
    <xf numFmtId="0" fontId="4" fillId="0" borderId="1" xfId="0" applyFont="1" applyBorder="1" applyAlignment="1">
      <alignment vertical="center"/>
    </xf>
    <xf numFmtId="37" fontId="3" fillId="2" borderId="1" xfId="0" applyNumberFormat="1" applyFont="1" applyFill="1" applyBorder="1" applyAlignment="1">
      <alignment vertical="center" wrapText="1"/>
    </xf>
    <xf numFmtId="168" fontId="4" fillId="3" borderId="0" xfId="1" applyNumberFormat="1" applyFont="1" applyFill="1" applyAlignment="1">
      <alignment horizontal="center" vertical="center"/>
    </xf>
    <xf numFmtId="168" fontId="3" fillId="4" borderId="13" xfId="0" applyNumberFormat="1" applyFont="1" applyFill="1" applyBorder="1" applyAlignment="1">
      <alignment horizontal="center" vertical="center"/>
    </xf>
    <xf numFmtId="168" fontId="4" fillId="0" borderId="0" xfId="0" applyNumberFormat="1" applyFont="1" applyAlignment="1">
      <alignment horizontal="center" vertical="center"/>
    </xf>
    <xf numFmtId="3" fontId="3" fillId="3" borderId="0" xfId="0" applyNumberFormat="1" applyFont="1" applyFill="1" applyAlignment="1">
      <alignment horizontal="center" vertical="center"/>
    </xf>
    <xf numFmtId="37" fontId="11" fillId="3" borderId="0" xfId="0" applyNumberFormat="1" applyFont="1" applyFill="1" applyAlignment="1">
      <alignment horizontal="center" vertical="center"/>
    </xf>
    <xf numFmtId="37" fontId="12" fillId="3" borderId="0" xfId="0" applyNumberFormat="1" applyFont="1" applyFill="1" applyAlignment="1">
      <alignment horizontal="center" vertical="center"/>
    </xf>
    <xf numFmtId="37" fontId="11" fillId="3" borderId="0" xfId="0" applyNumberFormat="1" applyFont="1" applyFill="1" applyAlignment="1">
      <alignment vertical="center"/>
    </xf>
    <xf numFmtId="37" fontId="11" fillId="3" borderId="0" xfId="0" applyNumberFormat="1" applyFont="1" applyFill="1" applyAlignment="1">
      <alignment horizontal="center" vertical="center" wrapText="1"/>
    </xf>
    <xf numFmtId="37" fontId="11" fillId="3" borderId="0" xfId="0" applyNumberFormat="1" applyFont="1" applyFill="1" applyAlignment="1">
      <alignment horizontal="left" vertical="center"/>
    </xf>
    <xf numFmtId="37" fontId="12" fillId="3" borderId="0" xfId="0" applyNumberFormat="1" applyFont="1" applyFill="1" applyAlignment="1">
      <alignment horizontal="left" vertical="center"/>
    </xf>
    <xf numFmtId="37" fontId="11" fillId="3" borderId="0" xfId="1" applyNumberFormat="1" applyFont="1" applyFill="1" applyAlignment="1">
      <alignment horizontal="center" vertical="center"/>
    </xf>
    <xf numFmtId="37" fontId="4" fillId="0" borderId="0" xfId="0" applyNumberFormat="1" applyFont="1" applyAlignment="1">
      <alignment horizontal="left" vertical="center" wrapText="1"/>
    </xf>
    <xf numFmtId="168" fontId="4" fillId="0" borderId="0" xfId="3" applyNumberFormat="1" applyFont="1" applyFill="1" applyBorder="1" applyAlignment="1" applyProtection="1">
      <alignment horizontal="center" vertical="center"/>
    </xf>
    <xf numFmtId="168" fontId="3" fillId="4" borderId="1" xfId="3" applyNumberFormat="1" applyFont="1" applyFill="1" applyBorder="1" applyAlignment="1" applyProtection="1">
      <alignment horizontal="center" vertical="center"/>
    </xf>
    <xf numFmtId="168" fontId="3" fillId="0" borderId="0" xfId="3" applyNumberFormat="1" applyFont="1" applyFill="1" applyBorder="1" applyAlignment="1" applyProtection="1">
      <alignment horizontal="center" vertical="center"/>
    </xf>
    <xf numFmtId="37" fontId="4" fillId="0" borderId="0" xfId="3" applyNumberFormat="1" applyFont="1" applyFill="1" applyBorder="1" applyAlignment="1" applyProtection="1">
      <alignment horizontal="center" vertical="center"/>
    </xf>
    <xf numFmtId="168" fontId="3" fillId="0" borderId="0" xfId="0" applyNumberFormat="1" applyFont="1" applyAlignment="1">
      <alignment horizontal="center" vertical="center"/>
    </xf>
    <xf numFmtId="168" fontId="3" fillId="4" borderId="1" xfId="3" applyNumberFormat="1" applyFont="1" applyFill="1" applyBorder="1" applyAlignment="1">
      <alignment horizontal="center" vertical="center"/>
    </xf>
    <xf numFmtId="3" fontId="3" fillId="4" borderId="1" xfId="3" applyNumberFormat="1" applyFont="1" applyFill="1" applyBorder="1" applyAlignment="1">
      <alignment vertical="center"/>
    </xf>
    <xf numFmtId="3" fontId="3" fillId="4" borderId="1" xfId="3" applyNumberFormat="1" applyFont="1" applyFill="1" applyBorder="1" applyAlignment="1" applyProtection="1">
      <alignment vertical="center"/>
    </xf>
    <xf numFmtId="0" fontId="4" fillId="3" borderId="2" xfId="0" applyFont="1" applyFill="1" applyBorder="1" applyAlignment="1">
      <alignment vertical="center"/>
    </xf>
    <xf numFmtId="0" fontId="4" fillId="3" borderId="4" xfId="0" applyFont="1" applyFill="1" applyBorder="1" applyAlignment="1">
      <alignment vertical="center"/>
    </xf>
    <xf numFmtId="164" fontId="3" fillId="3" borderId="0" xfId="0" applyNumberFormat="1" applyFont="1" applyFill="1" applyAlignment="1">
      <alignment vertical="center"/>
    </xf>
    <xf numFmtId="38" fontId="3" fillId="3" borderId="0" xfId="3" applyNumberFormat="1" applyFont="1" applyFill="1" applyBorder="1" applyAlignment="1" applyProtection="1">
      <alignment vertical="center"/>
    </xf>
    <xf numFmtId="164" fontId="4" fillId="2" borderId="0" xfId="0" applyNumberFormat="1" applyFont="1" applyFill="1" applyAlignment="1">
      <alignment horizontal="center" vertical="center"/>
    </xf>
    <xf numFmtId="37" fontId="4" fillId="0" borderId="1" xfId="0" quotePrefix="1" applyNumberFormat="1" applyFont="1" applyBorder="1" applyAlignment="1">
      <alignment horizontal="left" vertical="center" wrapText="1"/>
    </xf>
    <xf numFmtId="37" fontId="4" fillId="0" borderId="1" xfId="0" applyNumberFormat="1" applyFont="1" applyBorder="1" applyAlignment="1">
      <alignment horizontal="center" vertical="center"/>
    </xf>
    <xf numFmtId="10" fontId="4" fillId="3" borderId="3" xfId="0" applyNumberFormat="1" applyFont="1" applyFill="1" applyBorder="1" applyAlignment="1">
      <alignment horizontal="center" vertical="center"/>
    </xf>
    <xf numFmtId="37" fontId="7" fillId="8" borderId="16" xfId="0" applyNumberFormat="1" applyFont="1" applyFill="1" applyBorder="1" applyAlignment="1">
      <alignment horizontal="left" vertical="center"/>
    </xf>
    <xf numFmtId="10" fontId="7" fillId="8" borderId="16" xfId="0" applyNumberFormat="1" applyFont="1" applyFill="1" applyBorder="1" applyAlignment="1">
      <alignment horizontal="center" vertical="center"/>
    </xf>
    <xf numFmtId="167" fontId="4" fillId="3" borderId="1" xfId="1" applyNumberFormat="1" applyFont="1" applyFill="1" applyBorder="1" applyAlignment="1">
      <alignment vertical="center"/>
    </xf>
    <xf numFmtId="167" fontId="7" fillId="8" borderId="1" xfId="1" applyNumberFormat="1" applyFont="1" applyFill="1" applyBorder="1" applyAlignment="1">
      <alignment horizontal="center" vertical="center"/>
    </xf>
    <xf numFmtId="167" fontId="3" fillId="3" borderId="1" xfId="1" applyNumberFormat="1" applyFont="1" applyFill="1" applyBorder="1" applyAlignment="1">
      <alignment vertical="center"/>
    </xf>
    <xf numFmtId="167" fontId="17" fillId="0" borderId="0" xfId="1" applyNumberFormat="1" applyFont="1" applyAlignment="1">
      <alignment vertical="center"/>
    </xf>
    <xf numFmtId="167" fontId="17" fillId="0" borderId="1" xfId="1" applyNumberFormat="1" applyFont="1" applyBorder="1" applyAlignment="1">
      <alignment vertical="center"/>
    </xf>
    <xf numFmtId="167" fontId="4" fillId="3" borderId="0" xfId="1" applyNumberFormat="1" applyFont="1" applyFill="1" applyAlignment="1">
      <alignment vertical="center"/>
    </xf>
    <xf numFmtId="167" fontId="3" fillId="3" borderId="0" xfId="1" applyNumberFormat="1" applyFont="1" applyFill="1" applyAlignment="1">
      <alignment horizontal="center" vertical="center"/>
    </xf>
    <xf numFmtId="167" fontId="3" fillId="3" borderId="0" xfId="1" applyNumberFormat="1" applyFont="1" applyFill="1" applyAlignment="1">
      <alignment vertical="center"/>
    </xf>
    <xf numFmtId="167" fontId="3" fillId="3" borderId="13" xfId="1" applyNumberFormat="1" applyFont="1" applyFill="1" applyBorder="1" applyAlignment="1">
      <alignment vertical="center"/>
    </xf>
    <xf numFmtId="167" fontId="5" fillId="3" borderId="0" xfId="1" applyNumberFormat="1" applyFont="1" applyFill="1" applyAlignment="1">
      <alignment vertical="center"/>
    </xf>
    <xf numFmtId="167" fontId="4" fillId="3" borderId="1" xfId="1" applyNumberFormat="1" applyFont="1" applyFill="1" applyBorder="1" applyAlignment="1" applyProtection="1">
      <alignment horizontal="center" vertical="center"/>
    </xf>
    <xf numFmtId="167" fontId="4" fillId="3" borderId="1" xfId="1" applyNumberFormat="1" applyFont="1" applyFill="1" applyBorder="1" applyAlignment="1">
      <alignment horizontal="center" vertical="center"/>
    </xf>
    <xf numFmtId="167" fontId="4" fillId="3" borderId="13" xfId="1" applyNumberFormat="1" applyFont="1" applyFill="1" applyBorder="1" applyAlignment="1">
      <alignment vertical="center"/>
    </xf>
    <xf numFmtId="167" fontId="4" fillId="3" borderId="1" xfId="1" applyNumberFormat="1" applyFont="1" applyFill="1" applyBorder="1" applyAlignment="1">
      <alignment horizontal="right" vertical="center"/>
    </xf>
    <xf numFmtId="167" fontId="7" fillId="8" borderId="13" xfId="1" applyNumberFormat="1" applyFont="1" applyFill="1" applyBorder="1" applyAlignment="1">
      <alignment vertical="center"/>
    </xf>
    <xf numFmtId="167" fontId="7" fillId="3" borderId="0" xfId="1" applyNumberFormat="1" applyFont="1" applyFill="1" applyAlignment="1">
      <alignment vertical="center"/>
    </xf>
    <xf numFmtId="167" fontId="7" fillId="8" borderId="13" xfId="1" applyNumberFormat="1" applyFont="1" applyFill="1" applyBorder="1" applyAlignment="1">
      <alignment horizontal="center" vertical="center"/>
    </xf>
    <xf numFmtId="167" fontId="4" fillId="3" borderId="0" xfId="1" quotePrefix="1" applyNumberFormat="1" applyFont="1" applyFill="1" applyAlignment="1">
      <alignment vertical="center"/>
    </xf>
    <xf numFmtId="167" fontId="18" fillId="0" borderId="0" xfId="1" applyNumberFormat="1" applyFont="1" applyAlignment="1">
      <alignment vertical="center"/>
    </xf>
    <xf numFmtId="167" fontId="4" fillId="3" borderId="0" xfId="1" applyNumberFormat="1" applyFont="1" applyFill="1" applyBorder="1" applyAlignment="1">
      <alignment vertical="center"/>
    </xf>
    <xf numFmtId="167" fontId="14" fillId="0" borderId="1" xfId="1" applyNumberFormat="1" applyFont="1" applyBorder="1" applyAlignment="1">
      <alignment vertical="center"/>
    </xf>
    <xf numFmtId="167" fontId="4" fillId="3" borderId="1" xfId="1" applyNumberFormat="1" applyFont="1" applyFill="1" applyBorder="1" applyAlignment="1" applyProtection="1">
      <alignment horizontal="right" vertical="center"/>
    </xf>
    <xf numFmtId="167" fontId="17" fillId="0" borderId="1" xfId="1" applyNumberFormat="1" applyFont="1" applyBorder="1" applyAlignment="1">
      <alignment horizontal="right" vertical="center"/>
    </xf>
    <xf numFmtId="167" fontId="7" fillId="0" borderId="0" xfId="1" applyNumberFormat="1" applyFont="1" applyAlignment="1">
      <alignment vertical="center"/>
    </xf>
    <xf numFmtId="167" fontId="7" fillId="0" borderId="1" xfId="1" applyNumberFormat="1" applyFont="1" applyFill="1" applyBorder="1" applyAlignment="1">
      <alignment horizontal="center" vertical="center"/>
    </xf>
    <xf numFmtId="167" fontId="7" fillId="0" borderId="13" xfId="1" applyNumberFormat="1" applyFont="1" applyFill="1" applyBorder="1" applyAlignment="1">
      <alignment horizontal="center" vertical="center"/>
    </xf>
    <xf numFmtId="167" fontId="4" fillId="0" borderId="1" xfId="1" applyNumberFormat="1" applyFont="1" applyBorder="1" applyAlignment="1">
      <alignment vertical="center"/>
    </xf>
    <xf numFmtId="167" fontId="4" fillId="0" borderId="13" xfId="1" applyNumberFormat="1" applyFont="1" applyBorder="1" applyAlignment="1">
      <alignment vertical="center"/>
    </xf>
    <xf numFmtId="167" fontId="3" fillId="0" borderId="1" xfId="1" applyNumberFormat="1" applyFont="1" applyBorder="1" applyAlignment="1">
      <alignment horizontal="center" vertical="center"/>
    </xf>
    <xf numFmtId="167" fontId="3" fillId="0" borderId="0" xfId="1" applyNumberFormat="1" applyFont="1" applyAlignment="1">
      <alignment vertical="center"/>
    </xf>
    <xf numFmtId="167" fontId="3" fillId="0" borderId="0" xfId="1" applyNumberFormat="1" applyFont="1" applyAlignment="1">
      <alignment horizontal="center" vertical="center"/>
    </xf>
    <xf numFmtId="167" fontId="3" fillId="0" borderId="1" xfId="1" applyNumberFormat="1" applyFont="1" applyBorder="1" applyAlignment="1">
      <alignment vertical="center"/>
    </xf>
    <xf numFmtId="167" fontId="7" fillId="7" borderId="1" xfId="1" applyNumberFormat="1" applyFont="1" applyFill="1" applyBorder="1" applyAlignment="1">
      <alignment vertical="center"/>
    </xf>
    <xf numFmtId="167" fontId="7" fillId="7" borderId="13" xfId="1" applyNumberFormat="1" applyFont="1" applyFill="1" applyBorder="1" applyAlignment="1">
      <alignment vertical="center"/>
    </xf>
    <xf numFmtId="167" fontId="14" fillId="0" borderId="0" xfId="1" applyNumberFormat="1" applyFont="1" applyAlignment="1">
      <alignment vertical="center"/>
    </xf>
    <xf numFmtId="167" fontId="3" fillId="3" borderId="0" xfId="1" applyNumberFormat="1" applyFont="1" applyFill="1" applyAlignment="1">
      <alignment vertical="center" wrapText="1"/>
    </xf>
    <xf numFmtId="167" fontId="4" fillId="3" borderId="0" xfId="1" applyNumberFormat="1" applyFont="1" applyFill="1" applyAlignment="1" applyProtection="1">
      <alignment vertical="center"/>
      <protection locked="0"/>
    </xf>
    <xf numFmtId="167" fontId="4" fillId="3" borderId="0" xfId="1" applyNumberFormat="1" applyFont="1" applyFill="1" applyBorder="1" applyAlignment="1" applyProtection="1">
      <alignment vertical="center"/>
    </xf>
    <xf numFmtId="167" fontId="12" fillId="0" borderId="1" xfId="1" applyNumberFormat="1" applyFont="1" applyFill="1" applyBorder="1" applyAlignment="1">
      <alignment horizontal="center" vertical="center"/>
    </xf>
    <xf numFmtId="167" fontId="3" fillId="0" borderId="0" xfId="1" applyNumberFormat="1" applyFont="1" applyAlignment="1">
      <alignment horizontal="left" vertical="center"/>
    </xf>
    <xf numFmtId="167" fontId="4" fillId="0" borderId="3" xfId="1" applyNumberFormat="1" applyFont="1" applyBorder="1" applyAlignment="1" applyProtection="1">
      <alignment horizontal="left" vertical="center" wrapText="1"/>
    </xf>
    <xf numFmtId="49" fontId="3" fillId="3" borderId="0" xfId="1" applyNumberFormat="1" applyFont="1" applyFill="1" applyAlignment="1">
      <alignment horizontal="center" vertical="center"/>
    </xf>
    <xf numFmtId="167" fontId="19" fillId="3" borderId="0" xfId="1" applyNumberFormat="1" applyFont="1" applyFill="1" applyAlignment="1">
      <alignment vertical="center"/>
    </xf>
    <xf numFmtId="167" fontId="7" fillId="0" borderId="0" xfId="1" applyNumberFormat="1" applyFont="1" applyFill="1" applyBorder="1" applyAlignment="1">
      <alignment horizontal="center" vertical="center"/>
    </xf>
    <xf numFmtId="167" fontId="4" fillId="3" borderId="3" xfId="1" applyNumberFormat="1" applyFont="1" applyFill="1" applyBorder="1" applyAlignment="1">
      <alignment vertical="center"/>
    </xf>
    <xf numFmtId="167" fontId="3" fillId="3" borderId="3" xfId="1" applyNumberFormat="1" applyFont="1" applyFill="1" applyBorder="1" applyAlignment="1">
      <alignment vertical="center"/>
    </xf>
    <xf numFmtId="167" fontId="3" fillId="3" borderId="9" xfId="1" applyNumberFormat="1" applyFont="1" applyFill="1" applyBorder="1" applyAlignment="1">
      <alignment vertical="center"/>
    </xf>
    <xf numFmtId="49" fontId="7" fillId="8" borderId="16" xfId="1" applyNumberFormat="1" applyFont="1" applyFill="1" applyBorder="1" applyAlignment="1">
      <alignment horizontal="center" vertical="center"/>
    </xf>
    <xf numFmtId="49" fontId="4" fillId="3" borderId="0" xfId="1" applyNumberFormat="1" applyFont="1" applyFill="1" applyAlignment="1">
      <alignment vertical="center"/>
    </xf>
    <xf numFmtId="167" fontId="3" fillId="3" borderId="16" xfId="1" applyNumberFormat="1" applyFont="1" applyFill="1" applyBorder="1" applyAlignment="1">
      <alignment horizontal="center" vertical="center"/>
    </xf>
    <xf numFmtId="49" fontId="3" fillId="0" borderId="16" xfId="1" applyNumberFormat="1" applyFont="1" applyBorder="1" applyAlignment="1">
      <alignment horizontal="left" vertical="center"/>
    </xf>
    <xf numFmtId="49" fontId="3" fillId="3" borderId="16" xfId="1" applyNumberFormat="1" applyFont="1" applyFill="1" applyBorder="1" applyAlignment="1">
      <alignment horizontal="center" vertical="center"/>
    </xf>
    <xf numFmtId="167" fontId="3" fillId="0" borderId="19" xfId="1" applyNumberFormat="1" applyFont="1" applyBorder="1" applyAlignment="1">
      <alignment horizontal="left" vertical="center"/>
    </xf>
    <xf numFmtId="49" fontId="3" fillId="0" borderId="0" xfId="1" applyNumberFormat="1" applyFont="1" applyAlignment="1">
      <alignment horizontal="left" vertical="center"/>
    </xf>
    <xf numFmtId="0" fontId="0" fillId="0" borderId="0" xfId="0" applyAlignment="1">
      <alignment vertical="center"/>
    </xf>
    <xf numFmtId="0" fontId="1" fillId="0" borderId="0" xfId="0" applyFont="1" applyAlignment="1">
      <alignment vertical="center"/>
    </xf>
    <xf numFmtId="0" fontId="13" fillId="0" borderId="0" xfId="0" applyFont="1" applyAlignment="1">
      <alignment vertical="center"/>
    </xf>
    <xf numFmtId="0" fontId="20" fillId="3" borderId="0" xfId="6" applyFill="1"/>
    <xf numFmtId="0" fontId="20" fillId="3" borderId="0" xfId="6" applyFill="1" applyAlignment="1">
      <alignment wrapText="1"/>
    </xf>
    <xf numFmtId="0" fontId="21" fillId="3" borderId="0" xfId="6" applyFont="1" applyFill="1" applyAlignment="1">
      <alignment horizontal="left"/>
    </xf>
    <xf numFmtId="0" fontId="1" fillId="0" borderId="1" xfId="0" applyFont="1" applyBorder="1" applyAlignment="1">
      <alignment vertical="center"/>
    </xf>
    <xf numFmtId="167" fontId="0" fillId="0" borderId="1" xfId="1" applyNumberFormat="1" applyFont="1" applyBorder="1" applyAlignment="1">
      <alignment vertical="center"/>
    </xf>
    <xf numFmtId="166" fontId="0" fillId="0" borderId="1" xfId="5" applyNumberFormat="1" applyFont="1" applyBorder="1" applyAlignment="1">
      <alignment vertical="center"/>
    </xf>
    <xf numFmtId="0" fontId="0" fillId="0" borderId="1" xfId="0" applyBorder="1" applyAlignment="1">
      <alignment vertical="center"/>
    </xf>
    <xf numFmtId="166" fontId="0" fillId="0" borderId="1" xfId="0" applyNumberFormat="1" applyBorder="1" applyAlignment="1">
      <alignment vertical="center"/>
    </xf>
    <xf numFmtId="167" fontId="0" fillId="0" borderId="1" xfId="0" applyNumberFormat="1" applyBorder="1" applyAlignment="1">
      <alignment vertical="center"/>
    </xf>
    <xf numFmtId="0" fontId="1" fillId="0" borderId="1" xfId="0" applyFont="1" applyBorder="1" applyAlignment="1">
      <alignment vertical="center" wrapText="1"/>
    </xf>
    <xf numFmtId="167" fontId="1" fillId="0" borderId="1" xfId="1" applyNumberFormat="1" applyFont="1" applyBorder="1" applyAlignment="1">
      <alignment vertical="center"/>
    </xf>
    <xf numFmtId="0" fontId="13" fillId="0" borderId="0" xfId="0" applyFont="1" applyAlignment="1">
      <alignment vertical="center" wrapText="1"/>
    </xf>
    <xf numFmtId="167" fontId="0" fillId="0" borderId="0" xfId="1" applyNumberFormat="1" applyFont="1" applyAlignment="1">
      <alignment vertical="center"/>
    </xf>
    <xf numFmtId="0" fontId="1" fillId="0" borderId="3" xfId="0" applyFont="1" applyBorder="1" applyAlignment="1">
      <alignment vertical="center"/>
    </xf>
    <xf numFmtId="167" fontId="0" fillId="0" borderId="3" xfId="1" applyNumberFormat="1" applyFont="1" applyBorder="1" applyAlignment="1">
      <alignment vertical="center"/>
    </xf>
    <xf numFmtId="166" fontId="0" fillId="0" borderId="3" xfId="5" applyNumberFormat="1" applyFont="1" applyBorder="1" applyAlignment="1">
      <alignment vertical="center"/>
    </xf>
    <xf numFmtId="0" fontId="0" fillId="0" borderId="3" xfId="0" applyBorder="1" applyAlignment="1">
      <alignment vertical="center"/>
    </xf>
    <xf numFmtId="166" fontId="0" fillId="0" borderId="3" xfId="0" applyNumberFormat="1" applyBorder="1" applyAlignment="1">
      <alignment vertical="center"/>
    </xf>
    <xf numFmtId="167" fontId="0" fillId="0" borderId="3" xfId="0" applyNumberFormat="1" applyBorder="1" applyAlignment="1">
      <alignment vertical="center"/>
    </xf>
    <xf numFmtId="0" fontId="22" fillId="9" borderId="16" xfId="0" applyFont="1" applyFill="1" applyBorder="1" applyAlignment="1">
      <alignment horizontal="center" vertical="center" wrapText="1"/>
    </xf>
    <xf numFmtId="0" fontId="22" fillId="8" borderId="1" xfId="0" applyFont="1" applyFill="1" applyBorder="1" applyAlignment="1">
      <alignment vertical="center"/>
    </xf>
    <xf numFmtId="167" fontId="22" fillId="8" borderId="1" xfId="1" applyNumberFormat="1" applyFont="1" applyFill="1" applyBorder="1" applyAlignment="1">
      <alignment vertical="center"/>
    </xf>
    <xf numFmtId="166" fontId="22" fillId="8" borderId="1" xfId="5" applyNumberFormat="1" applyFont="1" applyFill="1" applyBorder="1" applyAlignment="1">
      <alignment vertical="center"/>
    </xf>
    <xf numFmtId="9" fontId="22" fillId="8" borderId="1" xfId="5" applyFont="1" applyFill="1" applyBorder="1" applyAlignment="1">
      <alignment vertical="center"/>
    </xf>
    <xf numFmtId="167" fontId="22" fillId="8" borderId="1" xfId="0" applyNumberFormat="1" applyFont="1" applyFill="1" applyBorder="1" applyAlignment="1">
      <alignment vertical="center"/>
    </xf>
    <xf numFmtId="167" fontId="23" fillId="8" borderId="1" xfId="0" applyNumberFormat="1" applyFont="1" applyFill="1" applyBorder="1" applyAlignment="1">
      <alignment vertical="center"/>
    </xf>
    <xf numFmtId="43" fontId="4" fillId="3" borderId="0" xfId="1" applyFont="1" applyFill="1" applyAlignment="1">
      <alignment vertical="center"/>
    </xf>
    <xf numFmtId="167" fontId="12" fillId="3" borderId="0" xfId="1" applyNumberFormat="1" applyFont="1" applyFill="1" applyAlignment="1">
      <alignment vertical="center"/>
    </xf>
    <xf numFmtId="10" fontId="4" fillId="3" borderId="0" xfId="0" applyNumberFormat="1" applyFont="1" applyFill="1" applyAlignment="1">
      <alignment horizontal="center" vertical="center"/>
    </xf>
    <xf numFmtId="167" fontId="12" fillId="0" borderId="0" xfId="1" applyNumberFormat="1" applyFont="1" applyAlignment="1">
      <alignment vertical="center"/>
    </xf>
    <xf numFmtId="166" fontId="4" fillId="3" borderId="0" xfId="5" applyNumberFormat="1" applyFont="1" applyFill="1" applyAlignment="1">
      <alignment vertical="center"/>
    </xf>
    <xf numFmtId="167" fontId="17" fillId="0" borderId="13" xfId="1" applyNumberFormat="1" applyFont="1" applyBorder="1" applyAlignment="1">
      <alignment vertical="center"/>
    </xf>
    <xf numFmtId="167" fontId="3" fillId="0" borderId="0" xfId="1" applyNumberFormat="1" applyFont="1" applyBorder="1" applyAlignment="1">
      <alignment vertical="center"/>
    </xf>
    <xf numFmtId="167" fontId="3" fillId="3" borderId="15" xfId="1" applyNumberFormat="1" applyFont="1" applyFill="1" applyBorder="1" applyAlignment="1">
      <alignment vertical="center"/>
    </xf>
    <xf numFmtId="167" fontId="4" fillId="3" borderId="15" xfId="1" applyNumberFormat="1" applyFont="1" applyFill="1" applyBorder="1" applyAlignment="1">
      <alignment vertical="center"/>
    </xf>
    <xf numFmtId="167" fontId="4" fillId="3" borderId="2" xfId="1" applyNumberFormat="1" applyFont="1" applyFill="1" applyBorder="1" applyAlignment="1">
      <alignment vertical="center"/>
    </xf>
    <xf numFmtId="0" fontId="20" fillId="0" borderId="0" xfId="6" applyFill="1"/>
    <xf numFmtId="0" fontId="20" fillId="0" borderId="0" xfId="6" applyFill="1" applyBorder="1"/>
    <xf numFmtId="49" fontId="7" fillId="10" borderId="16" xfId="1" applyNumberFormat="1" applyFont="1" applyFill="1" applyBorder="1" applyAlignment="1">
      <alignment horizontal="center" vertical="center"/>
    </xf>
    <xf numFmtId="167" fontId="24" fillId="0" borderId="0" xfId="1" applyNumberFormat="1" applyFont="1" applyAlignment="1">
      <alignment horizontal="left" vertical="center"/>
    </xf>
    <xf numFmtId="167" fontId="25" fillId="3" borderId="0" xfId="1" applyNumberFormat="1" applyFont="1" applyFill="1" applyAlignment="1">
      <alignment vertical="center"/>
    </xf>
    <xf numFmtId="167" fontId="7" fillId="10" borderId="19" xfId="1" applyNumberFormat="1" applyFont="1" applyFill="1" applyBorder="1" applyAlignment="1">
      <alignment horizontal="center" vertical="center"/>
    </xf>
    <xf numFmtId="49" fontId="7" fillId="10" borderId="20" xfId="1" applyNumberFormat="1" applyFont="1" applyFill="1" applyBorder="1" applyAlignment="1">
      <alignment horizontal="center" vertical="center"/>
    </xf>
    <xf numFmtId="167" fontId="7" fillId="10" borderId="16" xfId="1" applyNumberFormat="1" applyFont="1" applyFill="1" applyBorder="1" applyAlignment="1">
      <alignment horizontal="center" vertical="center" wrapText="1"/>
    </xf>
    <xf numFmtId="167" fontId="7" fillId="10" borderId="22" xfId="1" applyNumberFormat="1" applyFont="1" applyFill="1" applyBorder="1" applyAlignment="1">
      <alignment horizontal="center" vertical="center"/>
    </xf>
    <xf numFmtId="167" fontId="7" fillId="9" borderId="13" xfId="1" applyNumberFormat="1" applyFont="1" applyFill="1" applyBorder="1" applyAlignment="1">
      <alignment vertical="center"/>
    </xf>
    <xf numFmtId="167" fontId="7" fillId="9" borderId="1" xfId="1" applyNumberFormat="1" applyFont="1" applyFill="1" applyBorder="1" applyAlignment="1">
      <alignment horizontal="center" vertical="center"/>
    </xf>
    <xf numFmtId="167" fontId="7" fillId="9" borderId="1" xfId="1" applyNumberFormat="1" applyFont="1" applyFill="1" applyBorder="1" applyAlignment="1">
      <alignment horizontal="right" vertical="center"/>
    </xf>
    <xf numFmtId="167" fontId="4" fillId="9" borderId="0" xfId="1" applyNumberFormat="1" applyFont="1" applyFill="1" applyAlignment="1">
      <alignment vertical="center"/>
    </xf>
    <xf numFmtId="167" fontId="4" fillId="9" borderId="1" xfId="1" applyNumberFormat="1" applyFont="1" applyFill="1" applyBorder="1" applyAlignment="1">
      <alignment horizontal="center" vertical="center"/>
    </xf>
    <xf numFmtId="167" fontId="4" fillId="9" borderId="1" xfId="1" applyNumberFormat="1" applyFont="1" applyFill="1" applyBorder="1" applyAlignment="1">
      <alignment vertical="center"/>
    </xf>
    <xf numFmtId="167" fontId="7" fillId="9" borderId="1" xfId="1" applyNumberFormat="1" applyFont="1" applyFill="1" applyBorder="1" applyAlignment="1">
      <alignment vertical="center"/>
    </xf>
    <xf numFmtId="0" fontId="10" fillId="6" borderId="1" xfId="0" applyFont="1" applyFill="1" applyBorder="1" applyAlignment="1">
      <alignment horizontal="center"/>
    </xf>
    <xf numFmtId="0" fontId="10" fillId="6" borderId="1" xfId="0" applyFont="1" applyFill="1" applyBorder="1" applyAlignment="1">
      <alignment horizont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wrapText="1"/>
    </xf>
    <xf numFmtId="0" fontId="3" fillId="2" borderId="1" xfId="0" applyFont="1" applyFill="1" applyBorder="1" applyAlignment="1">
      <alignment horizontal="center"/>
    </xf>
    <xf numFmtId="0" fontId="3" fillId="3" borderId="0" xfId="0" applyFont="1" applyFill="1" applyAlignment="1">
      <alignment horizontal="center"/>
    </xf>
    <xf numFmtId="37" fontId="3" fillId="3" borderId="0" xfId="0" applyNumberFormat="1" applyFont="1" applyFill="1" applyAlignment="1">
      <alignment horizontal="center"/>
    </xf>
    <xf numFmtId="37" fontId="3" fillId="3" borderId="0" xfId="0" quotePrefix="1" applyNumberFormat="1" applyFont="1" applyFill="1" applyAlignment="1">
      <alignment horizontal="center"/>
    </xf>
    <xf numFmtId="37" fontId="3" fillId="3" borderId="0" xfId="0" applyNumberFormat="1" applyFont="1" applyFill="1" applyAlignment="1" applyProtection="1">
      <alignment horizontal="center"/>
      <protection locked="0"/>
    </xf>
    <xf numFmtId="37" fontId="3" fillId="3" borderId="0" xfId="0" quotePrefix="1" applyNumberFormat="1" applyFont="1" applyFill="1" applyAlignment="1" applyProtection="1">
      <alignment horizontal="center"/>
      <protection locked="0"/>
    </xf>
    <xf numFmtId="37" fontId="3" fillId="2" borderId="1" xfId="0" applyNumberFormat="1"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167" fontId="3" fillId="3" borderId="0" xfId="1" applyNumberFormat="1" applyFont="1" applyFill="1" applyAlignment="1">
      <alignment horizontal="left" vertical="center" wrapText="1"/>
    </xf>
    <xf numFmtId="167" fontId="7" fillId="8" borderId="16" xfId="1" applyNumberFormat="1" applyFont="1" applyFill="1" applyBorder="1" applyAlignment="1">
      <alignment horizontal="center" vertical="center" wrapText="1"/>
    </xf>
    <xf numFmtId="167" fontId="7" fillId="8" borderId="16" xfId="1" applyNumberFormat="1" applyFont="1" applyFill="1" applyBorder="1" applyAlignment="1">
      <alignment horizontal="center" vertical="center"/>
    </xf>
    <xf numFmtId="167" fontId="7" fillId="8" borderId="19" xfId="1" applyNumberFormat="1" applyFont="1" applyFill="1" applyBorder="1" applyAlignment="1">
      <alignment horizontal="center" vertical="center"/>
    </xf>
    <xf numFmtId="167" fontId="7" fillId="8" borderId="20" xfId="1" applyNumberFormat="1" applyFont="1" applyFill="1" applyBorder="1" applyAlignment="1">
      <alignment horizontal="center" vertical="center"/>
    </xf>
    <xf numFmtId="167" fontId="7" fillId="10" borderId="19" xfId="1" applyNumberFormat="1" applyFont="1" applyFill="1" applyBorder="1" applyAlignment="1">
      <alignment horizontal="center" vertical="center"/>
    </xf>
    <xf numFmtId="167" fontId="7" fillId="10" borderId="21" xfId="1" applyNumberFormat="1" applyFont="1" applyFill="1" applyBorder="1" applyAlignment="1">
      <alignment horizontal="center" vertical="center"/>
    </xf>
    <xf numFmtId="167" fontId="7" fillId="10" borderId="20" xfId="1" applyNumberFormat="1" applyFont="1" applyFill="1" applyBorder="1" applyAlignment="1">
      <alignment horizontal="center" vertical="center"/>
    </xf>
    <xf numFmtId="167" fontId="7" fillId="10" borderId="19" xfId="1" applyNumberFormat="1" applyFont="1" applyFill="1" applyBorder="1" applyAlignment="1">
      <alignment horizontal="center" wrapText="1"/>
    </xf>
    <xf numFmtId="167" fontId="7" fillId="10" borderId="21" xfId="1" applyNumberFormat="1" applyFont="1" applyFill="1" applyBorder="1" applyAlignment="1">
      <alignment horizontal="center" wrapText="1"/>
    </xf>
    <xf numFmtId="167" fontId="7" fillId="10" borderId="20" xfId="1" applyNumberFormat="1" applyFont="1" applyFill="1" applyBorder="1" applyAlignment="1">
      <alignment horizontal="center" wrapText="1"/>
    </xf>
    <xf numFmtId="167" fontId="7" fillId="10" borderId="19" xfId="1" applyNumberFormat="1" applyFont="1" applyFill="1" applyBorder="1" applyAlignment="1">
      <alignment horizontal="center" vertical="center" wrapText="1"/>
    </xf>
    <xf numFmtId="167" fontId="7" fillId="10" borderId="21" xfId="1" applyNumberFormat="1" applyFont="1" applyFill="1" applyBorder="1" applyAlignment="1">
      <alignment horizontal="center" vertical="center" wrapText="1"/>
    </xf>
    <xf numFmtId="167" fontId="7" fillId="10" borderId="20" xfId="1" applyNumberFormat="1" applyFont="1" applyFill="1" applyBorder="1" applyAlignment="1">
      <alignment horizontal="center" vertical="center" wrapText="1"/>
    </xf>
    <xf numFmtId="167" fontId="7" fillId="10" borderId="22" xfId="1" applyNumberFormat="1" applyFont="1" applyFill="1" applyBorder="1" applyAlignment="1">
      <alignment horizontal="center" vertical="center" wrapText="1"/>
    </xf>
    <xf numFmtId="167" fontId="7" fillId="10" borderId="23" xfId="1" applyNumberFormat="1" applyFont="1" applyFill="1" applyBorder="1" applyAlignment="1">
      <alignment horizontal="center" vertical="center" wrapText="1"/>
    </xf>
    <xf numFmtId="167" fontId="7" fillId="10" borderId="24" xfId="1" applyNumberFormat="1" applyFont="1" applyFill="1" applyBorder="1" applyAlignment="1">
      <alignment horizontal="center" vertical="center"/>
    </xf>
    <xf numFmtId="167" fontId="7" fillId="10" borderId="0" xfId="1" applyNumberFormat="1" applyFont="1" applyFill="1" applyBorder="1" applyAlignment="1">
      <alignment horizontal="center" vertical="center"/>
    </xf>
    <xf numFmtId="167" fontId="7" fillId="10" borderId="25" xfId="1" applyNumberFormat="1" applyFont="1" applyFill="1" applyBorder="1" applyAlignment="1">
      <alignment horizontal="center" vertical="center"/>
    </xf>
    <xf numFmtId="167" fontId="7" fillId="10" borderId="26" xfId="1" applyNumberFormat="1" applyFont="1" applyFill="1" applyBorder="1" applyAlignment="1">
      <alignment horizontal="center" vertical="center"/>
    </xf>
    <xf numFmtId="167" fontId="7" fillId="10" borderId="16" xfId="1" applyNumberFormat="1" applyFont="1" applyFill="1" applyBorder="1" applyAlignment="1">
      <alignment horizontal="center" vertical="center"/>
    </xf>
    <xf numFmtId="167" fontId="7" fillId="10" borderId="16" xfId="1" applyNumberFormat="1" applyFont="1" applyFill="1" applyBorder="1" applyAlignment="1">
      <alignment horizontal="center" vertical="center" wrapText="1"/>
    </xf>
    <xf numFmtId="167" fontId="7" fillId="10" borderId="22" xfId="1" applyNumberFormat="1" applyFont="1" applyFill="1" applyBorder="1" applyAlignment="1">
      <alignment horizontal="center" vertical="center"/>
    </xf>
    <xf numFmtId="167" fontId="7" fillId="10" borderId="23" xfId="1" applyNumberFormat="1" applyFont="1" applyFill="1" applyBorder="1" applyAlignment="1">
      <alignment horizontal="center" vertical="center"/>
    </xf>
    <xf numFmtId="167" fontId="7" fillId="10" borderId="30" xfId="1" applyNumberFormat="1" applyFont="1" applyFill="1" applyBorder="1" applyAlignment="1">
      <alignment horizontal="center" vertical="center"/>
    </xf>
    <xf numFmtId="167" fontId="7" fillId="10" borderId="31" xfId="1" applyNumberFormat="1" applyFont="1" applyFill="1" applyBorder="1" applyAlignment="1">
      <alignment horizontal="center" vertical="center"/>
    </xf>
    <xf numFmtId="167" fontId="7" fillId="10" borderId="24" xfId="1" applyNumberFormat="1" applyFont="1" applyFill="1" applyBorder="1" applyAlignment="1">
      <alignment horizontal="center" vertical="center" wrapText="1"/>
    </xf>
    <xf numFmtId="167" fontId="7" fillId="10" borderId="0" xfId="1" applyNumberFormat="1" applyFont="1" applyFill="1" applyBorder="1" applyAlignment="1">
      <alignment horizontal="center" vertical="center" wrapText="1"/>
    </xf>
    <xf numFmtId="167" fontId="7" fillId="10" borderId="18" xfId="1" applyNumberFormat="1" applyFont="1" applyFill="1" applyBorder="1" applyAlignment="1">
      <alignment horizontal="center" vertical="center"/>
    </xf>
    <xf numFmtId="167" fontId="7" fillId="10" borderId="17" xfId="1" applyNumberFormat="1" applyFont="1" applyFill="1" applyBorder="1" applyAlignment="1">
      <alignment horizontal="center" vertical="center" wrapText="1"/>
    </xf>
    <xf numFmtId="167" fontId="7" fillId="10" borderId="17" xfId="1" applyNumberFormat="1" applyFont="1" applyFill="1" applyBorder="1" applyAlignment="1">
      <alignment horizontal="center" vertical="center"/>
    </xf>
    <xf numFmtId="167" fontId="7" fillId="10" borderId="27" xfId="1" applyNumberFormat="1" applyFont="1" applyFill="1" applyBorder="1" applyAlignment="1">
      <alignment horizontal="center" vertical="center"/>
    </xf>
    <xf numFmtId="167" fontId="7" fillId="10" borderId="28" xfId="1" applyNumberFormat="1" applyFont="1" applyFill="1" applyBorder="1" applyAlignment="1">
      <alignment horizontal="center" vertical="center"/>
    </xf>
    <xf numFmtId="167" fontId="7" fillId="10" borderId="29" xfId="1" applyNumberFormat="1" applyFont="1" applyFill="1" applyBorder="1" applyAlignment="1">
      <alignment horizontal="center" vertical="center"/>
    </xf>
    <xf numFmtId="49" fontId="7" fillId="10" borderId="16" xfId="1" applyNumberFormat="1" applyFont="1" applyFill="1" applyBorder="1" applyAlignment="1">
      <alignment horizontal="center" vertical="center"/>
    </xf>
    <xf numFmtId="49" fontId="7" fillId="10" borderId="16" xfId="1" applyNumberFormat="1" applyFont="1" applyFill="1" applyBorder="1" applyAlignment="1">
      <alignment horizontal="center" vertical="center" wrapText="1"/>
    </xf>
    <xf numFmtId="49" fontId="7" fillId="10" borderId="20" xfId="1" applyNumberFormat="1" applyFont="1" applyFill="1" applyBorder="1" applyAlignment="1">
      <alignment horizontal="center" vertical="center"/>
    </xf>
    <xf numFmtId="167" fontId="8" fillId="10" borderId="16" xfId="1" applyNumberFormat="1" applyFont="1" applyFill="1" applyBorder="1" applyAlignment="1">
      <alignment horizontal="center" vertical="center"/>
    </xf>
    <xf numFmtId="167" fontId="7" fillId="10" borderId="16" xfId="1" quotePrefix="1" applyNumberFormat="1" applyFont="1" applyFill="1" applyBorder="1" applyAlignment="1">
      <alignment horizontal="center" vertical="center" wrapText="1"/>
    </xf>
    <xf numFmtId="37" fontId="3" fillId="0" borderId="0" xfId="0" applyNumberFormat="1" applyFont="1" applyAlignment="1">
      <alignment horizontal="center" vertical="center"/>
    </xf>
    <xf numFmtId="37" fontId="3" fillId="2" borderId="13" xfId="0" applyNumberFormat="1" applyFont="1" applyFill="1" applyBorder="1" applyAlignment="1">
      <alignment horizontal="center" vertical="center"/>
    </xf>
    <xf numFmtId="37" fontId="3" fillId="2" borderId="14" xfId="0" applyNumberFormat="1" applyFont="1" applyFill="1" applyBorder="1" applyAlignment="1">
      <alignment horizontal="center" vertical="center"/>
    </xf>
    <xf numFmtId="37" fontId="3" fillId="2" borderId="15" xfId="0" applyNumberFormat="1" applyFont="1" applyFill="1" applyBorder="1" applyAlignment="1">
      <alignment horizontal="center" vertical="center"/>
    </xf>
    <xf numFmtId="37" fontId="3" fillId="0" borderId="0" xfId="0" quotePrefix="1" applyNumberFormat="1" applyFont="1" applyAlignment="1">
      <alignment horizontal="center" vertical="center"/>
    </xf>
    <xf numFmtId="37" fontId="3" fillId="0" borderId="0" xfId="0" applyNumberFormat="1" applyFont="1" applyAlignment="1" applyProtection="1">
      <alignment horizontal="center" vertical="center"/>
      <protection locked="0"/>
    </xf>
    <xf numFmtId="37" fontId="3" fillId="0" borderId="0" xfId="0" quotePrefix="1" applyNumberFormat="1" applyFont="1" applyAlignment="1" applyProtection="1">
      <alignment horizontal="center" vertical="center"/>
      <protection locked="0"/>
    </xf>
    <xf numFmtId="37" fontId="4" fillId="0" borderId="0" xfId="0" applyNumberFormat="1" applyFont="1" applyAlignment="1">
      <alignment horizontal="left" vertical="center" wrapText="1"/>
    </xf>
    <xf numFmtId="37" fontId="3" fillId="2" borderId="1" xfId="0" applyNumberFormat="1" applyFont="1" applyFill="1" applyBorder="1" applyAlignment="1">
      <alignment horizontal="center" vertical="center" wrapText="1"/>
    </xf>
    <xf numFmtId="37" fontId="4" fillId="2" borderId="2" xfId="0" applyNumberFormat="1" applyFont="1" applyFill="1" applyBorder="1" applyAlignment="1">
      <alignment horizontal="center" vertical="center" textRotation="1"/>
    </xf>
    <xf numFmtId="37" fontId="3" fillId="2" borderId="15" xfId="0" applyNumberFormat="1" applyFont="1" applyFill="1" applyBorder="1" applyAlignment="1">
      <alignment horizontal="center" vertical="center" wrapText="1"/>
    </xf>
    <xf numFmtId="37" fontId="12" fillId="2" borderId="1" xfId="0" applyNumberFormat="1" applyFont="1" applyFill="1" applyBorder="1" applyAlignment="1">
      <alignment horizontal="center" vertical="center" wrapText="1"/>
    </xf>
    <xf numFmtId="37" fontId="4" fillId="2" borderId="1" xfId="0" applyNumberFormat="1" applyFont="1" applyFill="1" applyBorder="1" applyAlignment="1">
      <alignment horizontal="center" vertical="center" textRotation="1"/>
    </xf>
    <xf numFmtId="37" fontId="3" fillId="2" borderId="1" xfId="0" applyNumberFormat="1" applyFont="1" applyFill="1" applyBorder="1" applyAlignment="1">
      <alignment horizontal="left" vertical="center"/>
    </xf>
    <xf numFmtId="37" fontId="4" fillId="2" borderId="1" xfId="0" applyNumberFormat="1" applyFont="1" applyFill="1" applyBorder="1" applyAlignment="1">
      <alignment horizontal="left" vertical="center" textRotation="1"/>
    </xf>
    <xf numFmtId="0" fontId="3" fillId="2" borderId="11" xfId="0" applyFont="1" applyFill="1" applyBorder="1" applyAlignment="1">
      <alignment horizontal="left"/>
    </xf>
    <xf numFmtId="0" fontId="3" fillId="2" borderId="0" xfId="0" applyFont="1" applyFill="1" applyAlignment="1">
      <alignment horizontal="left"/>
    </xf>
  </cellXfs>
  <cellStyles count="7">
    <cellStyle name="Millares" xfId="1" builtinId="3"/>
    <cellStyle name="Millares [0]" xfId="2" builtinId="6"/>
    <cellStyle name="Moneda" xfId="3" builtinId="4"/>
    <cellStyle name="Normal" xfId="0" builtinId="0"/>
    <cellStyle name="Normal 2" xfId="4" xr:uid="{00000000-0005-0000-0000-000004000000}"/>
    <cellStyle name="Normal 3" xfId="6" xr:uid="{DE01E4D9-5834-469C-9357-A7E1A4DBE8CF}"/>
    <cellStyle name="Porcentaje" xfId="5" builtinId="5"/>
  </cellStyles>
  <dxfs count="5">
    <dxf>
      <font>
        <color rgb="FFFF0000"/>
      </font>
    </dxf>
    <dxf>
      <font>
        <color rgb="FFFF0000"/>
      </font>
    </dxf>
    <dxf>
      <font>
        <color rgb="FFFF0000"/>
      </font>
    </dxf>
    <dxf>
      <font>
        <color rgb="FFFF000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Ingresos Operacionales</a:t>
            </a:r>
          </a:p>
        </c:rich>
      </c:tx>
      <c:layout>
        <c:manualLayout>
          <c:xMode val="edge"/>
          <c:yMode val="edge"/>
          <c:x val="0.42473731634530659"/>
          <c:y val="1.229174943689939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042041547667722E-2"/>
          <c:y val="0.23164673118150308"/>
          <c:w val="0.91619513616174564"/>
          <c:h val="0.60971689607501356"/>
        </c:manualLayout>
      </c:layout>
      <c:barChart>
        <c:barDir val="col"/>
        <c:grouping val="clustered"/>
        <c:varyColors val="0"/>
        <c:ser>
          <c:idx val="1"/>
          <c:order val="0"/>
          <c:tx>
            <c:strRef>
              <c:f>Graficos!$B$4</c:f>
              <c:strCache>
                <c:ptCount val="1"/>
                <c:pt idx="0">
                  <c:v>Ingresos 2022</c:v>
                </c:pt>
              </c:strCache>
            </c:strRef>
          </c:tx>
          <c:spPr>
            <a:solidFill>
              <a:schemeClr val="accent2">
                <a:lumMod val="75000"/>
              </a:schemeClr>
            </a:solidFill>
            <a:ln>
              <a:solidFill>
                <a:srgbClr val="C0000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021198385403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A2-4D37-9F68-09B3AF50B78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Graficos!$B$5:$B$11</c:f>
              <c:numCache>
                <c:formatCode>_-* #,##0_-;\-* #,##0_-;_-* "-"??_-;_-@_-</c:formatCode>
                <c:ptCount val="7"/>
                <c:pt idx="0">
                  <c:v>11260338.556</c:v>
                </c:pt>
                <c:pt idx="1">
                  <c:v>1712904.5689999999</c:v>
                </c:pt>
                <c:pt idx="2">
                  <c:v>658117.55299999996</c:v>
                </c:pt>
                <c:pt idx="3">
                  <c:v>493702.641</c:v>
                </c:pt>
                <c:pt idx="4">
                  <c:v>270645</c:v>
                </c:pt>
                <c:pt idx="5">
                  <c:v>195473.514</c:v>
                </c:pt>
                <c:pt idx="6">
                  <c:v>14591181.833000001</c:v>
                </c:pt>
              </c:numCache>
            </c:numRef>
          </c:val>
          <c:extLst>
            <c:ext xmlns:c16="http://schemas.microsoft.com/office/drawing/2014/chart" uri="{C3380CC4-5D6E-409C-BE32-E72D297353CC}">
              <c16:uniqueId val="{00000006-320A-4DFC-90A9-E38B0D624277}"/>
            </c:ext>
          </c:extLst>
        </c:ser>
        <c:ser>
          <c:idx val="2"/>
          <c:order val="1"/>
          <c:tx>
            <c:strRef>
              <c:f>Graficos!$C$4</c:f>
              <c:strCache>
                <c:ptCount val="1"/>
                <c:pt idx="0">
                  <c:v>Ingresos 2023</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5163002274449786E-3"/>
                  <c:y val="-2.544529262086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0A-4DFC-90A9-E38B0D624277}"/>
                </c:ext>
              </c:extLst>
            </c:dLbl>
            <c:dLbl>
              <c:idx val="2"/>
              <c:layout>
                <c:manualLayout>
                  <c:x val="-1.1119406548930273E-16"/>
                  <c:y val="-4.0712468193384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0A-4DFC-90A9-E38B0D624277}"/>
                </c:ext>
              </c:extLst>
            </c:dLbl>
            <c:dLbl>
              <c:idx val="3"/>
              <c:layout>
                <c:manualLayout>
                  <c:x val="3.158981986962359E-3"/>
                  <c:y val="-4.0084793541613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20A-4DFC-90A9-E38B0D624277}"/>
                </c:ext>
              </c:extLst>
            </c:dLbl>
            <c:dLbl>
              <c:idx val="4"/>
              <c:layout>
                <c:manualLayout>
                  <c:x val="-1.1582800146699622E-16"/>
                  <c:y val="-4.0084793541613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A2-4D37-9F68-09B3AF50B783}"/>
                </c:ext>
              </c:extLst>
            </c:dLbl>
            <c:dLbl>
              <c:idx val="5"/>
              <c:layout>
                <c:manualLayout>
                  <c:x val="0"/>
                  <c:y val="-4.0712468193384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2-423E-9373-FC49FA43030C}"/>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Graficos!$C$5:$C$11</c:f>
              <c:numCache>
                <c:formatCode>_-* #,##0_-;\-* #,##0_-;_-* "-"??_-;_-@_-</c:formatCode>
                <c:ptCount val="7"/>
                <c:pt idx="0">
                  <c:v>13575256.908</c:v>
                </c:pt>
                <c:pt idx="1">
                  <c:v>2247093.2910000002</c:v>
                </c:pt>
                <c:pt idx="2">
                  <c:v>820806.95700000005</c:v>
                </c:pt>
                <c:pt idx="3">
                  <c:v>531313.81700000004</c:v>
                </c:pt>
                <c:pt idx="4">
                  <c:v>360684</c:v>
                </c:pt>
                <c:pt idx="5">
                  <c:v>234698.864</c:v>
                </c:pt>
                <c:pt idx="6">
                  <c:v>17769853.837000001</c:v>
                </c:pt>
              </c:numCache>
            </c:numRef>
          </c:val>
          <c:extLst>
            <c:ext xmlns:c16="http://schemas.microsoft.com/office/drawing/2014/chart" uri="{C3380CC4-5D6E-409C-BE32-E72D297353CC}">
              <c16:uniqueId val="{00000011-320A-4DFC-90A9-E38B0D624277}"/>
            </c:ext>
          </c:extLst>
        </c:ser>
        <c:dLbls>
          <c:showLegendKey val="0"/>
          <c:showVal val="0"/>
          <c:showCatName val="0"/>
          <c:showSerName val="0"/>
          <c:showPercent val="0"/>
          <c:showBubbleSize val="0"/>
        </c:dLbls>
        <c:gapWidth val="219"/>
        <c:axId val="1726824992"/>
        <c:axId val="1726827072"/>
      </c:barChart>
      <c:lineChart>
        <c:grouping val="standard"/>
        <c:varyColors val="0"/>
        <c:ser>
          <c:idx val="4"/>
          <c:order val="2"/>
          <c:tx>
            <c:strRef>
              <c:f>Graficos!$E$4</c:f>
              <c:strCache>
                <c:ptCount val="1"/>
                <c:pt idx="0">
                  <c:v>Var Ingresos 2023 - 2022</c:v>
                </c:pt>
              </c:strCache>
            </c:strRef>
          </c:tx>
          <c:spPr>
            <a:ln w="34925" cap="rnd">
              <a:solidFill>
                <a:schemeClr val="accent5"/>
              </a:solidFill>
              <a:round/>
            </a:ln>
            <a:effectLst>
              <a:outerShdw blurRad="40000" dist="23000" dir="5400000" rotWithShape="0">
                <a:srgbClr val="000000">
                  <a:alpha val="35000"/>
                </a:srgbClr>
              </a:outerShdw>
            </a:effectLst>
          </c:spPr>
          <c:marker>
            <c:symbol val="none"/>
          </c:marker>
          <c:dLbls>
            <c:dLbl>
              <c:idx val="0"/>
              <c:layout>
                <c:manualLayout>
                  <c:x val="-2.9161259190119103E-2"/>
                  <c:y val="-0.551084636911072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20A-4DFC-90A9-E38B0D624277}"/>
                </c:ext>
              </c:extLst>
            </c:dLbl>
            <c:dLbl>
              <c:idx val="1"/>
              <c:layout>
                <c:manualLayout>
                  <c:x val="-2.1395884493191769E-2"/>
                  <c:y val="-0.550464821845581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20A-4DFC-90A9-E38B0D624277}"/>
                </c:ext>
              </c:extLst>
            </c:dLbl>
            <c:dLbl>
              <c:idx val="2"/>
              <c:layout>
                <c:manualLayout>
                  <c:x val="-3.6406396814154231E-2"/>
                  <c:y val="-0.551232982210005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20A-4DFC-90A9-E38B0D624277}"/>
                </c:ext>
              </c:extLst>
            </c:dLbl>
            <c:dLbl>
              <c:idx val="3"/>
              <c:layout>
                <c:manualLayout>
                  <c:x val="-3.1589819869623587E-2"/>
                  <c:y val="-0.551165911197189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20A-4DFC-90A9-E38B0D624277}"/>
                </c:ext>
              </c:extLst>
            </c:dLbl>
            <c:dLbl>
              <c:idx val="4"/>
              <c:layout>
                <c:manualLayout>
                  <c:x val="-3.3169310863104769E-2"/>
                  <c:y val="-0.551165911197189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A2-4D37-9F68-09B3AF50B783}"/>
                </c:ext>
              </c:extLst>
            </c:dLbl>
            <c:dLbl>
              <c:idx val="5"/>
              <c:layout>
                <c:manualLayout>
                  <c:x val="-4.44493639439517E-2"/>
                  <c:y val="-0.551232982210005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B2-423E-9373-FC49FA43030C}"/>
                </c:ext>
              </c:extLst>
            </c:dLbl>
            <c:dLbl>
              <c:idx val="6"/>
              <c:layout>
                <c:manualLayout>
                  <c:x val="-3.0010328876142293E-2"/>
                  <c:y val="-0.676430891014733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6A2-4D37-9F68-09B3AF50B783}"/>
                </c:ext>
              </c:extLst>
            </c:dLbl>
            <c:spPr>
              <a:solidFill>
                <a:schemeClr val="bg1"/>
              </a:solidFill>
              <a:ln>
                <a:solidFill>
                  <a:schemeClr val="accent1">
                    <a:shade val="50000"/>
                  </a:schemeClr>
                </a:solid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Graficos!$A$5:$A$10</c:f>
              <c:strCache>
                <c:ptCount val="6"/>
                <c:pt idx="0">
                  <c:v>AVIANCA</c:v>
                </c:pt>
                <c:pt idx="1">
                  <c:v>LATAM</c:v>
                </c:pt>
                <c:pt idx="2">
                  <c:v>AEROREPUBLICA SA</c:v>
                </c:pt>
                <c:pt idx="3">
                  <c:v>CLIC</c:v>
                </c:pt>
                <c:pt idx="4">
                  <c:v>SATENA</c:v>
                </c:pt>
                <c:pt idx="5">
                  <c:v>REGIONAL EXPRESS 
AMERICAS SAS</c:v>
                </c:pt>
              </c:strCache>
            </c:strRef>
          </c:cat>
          <c:val>
            <c:numRef>
              <c:f>Graficos!$E$5:$E$11</c:f>
              <c:numCache>
                <c:formatCode>0.0%</c:formatCode>
                <c:ptCount val="7"/>
                <c:pt idx="0">
                  <c:v>0.20558159423781364</c:v>
                </c:pt>
                <c:pt idx="1">
                  <c:v>0.31186134456507508</c:v>
                </c:pt>
                <c:pt idx="2">
                  <c:v>0.24720417083298818</c:v>
                </c:pt>
                <c:pt idx="3">
                  <c:v>7.6181840801617273E-2</c:v>
                </c:pt>
                <c:pt idx="4">
                  <c:v>0.33268303497201135</c:v>
                </c:pt>
                <c:pt idx="5">
                  <c:v>0.20066836267137456</c:v>
                </c:pt>
                <c:pt idx="6">
                  <c:v>0.21784883776932928</c:v>
                </c:pt>
              </c:numCache>
            </c:numRef>
          </c:val>
          <c:smooth val="0"/>
          <c:extLst>
            <c:ext xmlns:c16="http://schemas.microsoft.com/office/drawing/2014/chart" uri="{C3380CC4-5D6E-409C-BE32-E72D297353CC}">
              <c16:uniqueId val="{00000017-320A-4DFC-90A9-E38B0D624277}"/>
            </c:ext>
          </c:extLst>
        </c:ser>
        <c:dLbls>
          <c:showLegendKey val="0"/>
          <c:showVal val="0"/>
          <c:showCatName val="0"/>
          <c:showSerName val="0"/>
          <c:showPercent val="0"/>
          <c:showBubbleSize val="0"/>
        </c:dLbls>
        <c:marker val="1"/>
        <c:smooth val="0"/>
        <c:axId val="1726824992"/>
        <c:axId val="1726827072"/>
      </c:lineChart>
      <c:catAx>
        <c:axId val="1726824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crossAx val="1726827072"/>
        <c:crosses val="autoZero"/>
        <c:auto val="1"/>
        <c:lblAlgn val="ctr"/>
        <c:lblOffset val="100"/>
        <c:noMultiLvlLbl val="0"/>
      </c:catAx>
      <c:valAx>
        <c:axId val="172682707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s-CO"/>
          </a:p>
        </c:txPr>
        <c:crossAx val="1726824992"/>
        <c:crosses val="autoZero"/>
        <c:crossBetween val="between"/>
      </c:valAx>
      <c:spPr>
        <a:noFill/>
        <a:ln>
          <a:noFill/>
        </a:ln>
        <a:effectLst/>
      </c:spPr>
    </c:plotArea>
    <c:legend>
      <c:legendPos val="t"/>
      <c:layout>
        <c:manualLayout>
          <c:xMode val="edge"/>
          <c:yMode val="edge"/>
          <c:x val="0.29308301095756328"/>
          <c:y val="0.15297359335318372"/>
          <c:w val="0.42705158157418038"/>
          <c:h val="7.2450502578880444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0502578638279761"/>
          <c:y val="3.240740740740740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CO"/>
        </a:p>
      </c:txPr>
    </c:title>
    <c:autoTitleDeleted val="0"/>
    <c:plotArea>
      <c:layout/>
      <c:ofPieChart>
        <c:ofPieType val="bar"/>
        <c:varyColors val="1"/>
        <c:ser>
          <c:idx val="0"/>
          <c:order val="0"/>
          <c:tx>
            <c:strRef>
              <c:f>Graficos!$G$4</c:f>
              <c:strCache>
                <c:ptCount val="1"/>
                <c:pt idx="0">
                  <c:v>% Participación Ingresos sobre el Total 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C24-4211-81D4-C283D61980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C24-4211-81D4-C283D619800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C24-4211-81D4-C283D619800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C24-4211-81D4-C283D619800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C24-4211-81D4-C283D619800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968-4060-941C-6BA512F816F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968-4060-941C-6BA512F816F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Graficos!$A$5:$A$10</c:f>
              <c:strCache>
                <c:ptCount val="6"/>
                <c:pt idx="0">
                  <c:v>AVIANCA</c:v>
                </c:pt>
                <c:pt idx="1">
                  <c:v>LATAM</c:v>
                </c:pt>
                <c:pt idx="2">
                  <c:v>AEROREPUBLICA SA</c:v>
                </c:pt>
                <c:pt idx="3">
                  <c:v>CLIC</c:v>
                </c:pt>
                <c:pt idx="4">
                  <c:v>SATENA</c:v>
                </c:pt>
                <c:pt idx="5">
                  <c:v>REGIONAL EXPRESS 
AMERICAS SAS</c:v>
                </c:pt>
              </c:strCache>
            </c:strRef>
          </c:cat>
          <c:val>
            <c:numRef>
              <c:f>Graficos!$G$5:$G$10</c:f>
              <c:numCache>
                <c:formatCode>0.0%</c:formatCode>
                <c:ptCount val="6"/>
                <c:pt idx="0">
                  <c:v>0.76394870956866834</c:v>
                </c:pt>
                <c:pt idx="1">
                  <c:v>0.1264553615135062</c:v>
                </c:pt>
                <c:pt idx="2">
                  <c:v>4.6190979651781587E-2</c:v>
                </c:pt>
                <c:pt idx="3">
                  <c:v>2.9899729163427896E-2</c:v>
                </c:pt>
                <c:pt idx="4">
                  <c:v>2.0297522045397563E-2</c:v>
                </c:pt>
                <c:pt idx="5">
                  <c:v>1.3207698057218409E-2</c:v>
                </c:pt>
              </c:numCache>
            </c:numRef>
          </c:val>
          <c:extLst>
            <c:ext xmlns:c16="http://schemas.microsoft.com/office/drawing/2014/chart" uri="{C3380CC4-5D6E-409C-BE32-E72D297353CC}">
              <c16:uniqueId val="{00000000-05C1-4CD6-9E91-66CCAE484D79}"/>
            </c:ext>
          </c:extLst>
        </c:ser>
        <c:dLbls>
          <c:showLegendKey val="0"/>
          <c:showVal val="0"/>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Estado Situación Financiera</a:t>
            </a:r>
          </a:p>
        </c:rich>
      </c:tx>
      <c:layout>
        <c:manualLayout>
          <c:xMode val="edge"/>
          <c:yMode val="edge"/>
          <c:x val="0.41052189740397599"/>
          <c:y val="1.727726456792762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042041547667722E-2"/>
          <c:y val="0.17057803706040336"/>
          <c:w val="0.91619513616174564"/>
          <c:h val="0.67078563217387621"/>
        </c:manualLayout>
      </c:layout>
      <c:barChart>
        <c:barDir val="col"/>
        <c:grouping val="clustered"/>
        <c:varyColors val="0"/>
        <c:ser>
          <c:idx val="2"/>
          <c:order val="0"/>
          <c:tx>
            <c:strRef>
              <c:f>Graficos!$AA$4</c:f>
              <c:strCache>
                <c:ptCount val="1"/>
                <c:pt idx="0">
                  <c:v>Activos 2023</c:v>
                </c:pt>
              </c:strCache>
            </c:strRef>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3.0326004548900682E-3"/>
                  <c:y val="-5.1150895140664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859-4AE2-B3A8-08776A38CC98}"/>
                </c:ext>
              </c:extLst>
            </c:dLbl>
            <c:dLbl>
              <c:idx val="2"/>
              <c:layout>
                <c:manualLayout>
                  <c:x val="-4.5489006823352133E-3"/>
                  <c:y val="-4.0920716112532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859-4AE2-B3A8-08776A38CC98}"/>
                </c:ext>
              </c:extLst>
            </c:dLbl>
            <c:dLbl>
              <c:idx val="3"/>
              <c:layout>
                <c:manualLayout>
                  <c:x val="0"/>
                  <c:y val="-1.0071663454176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859-4AE2-B3A8-08776A38CC98}"/>
                </c:ext>
              </c:extLst>
            </c:dLbl>
            <c:dLbl>
              <c:idx val="5"/>
              <c:layout>
                <c:manualLayout>
                  <c:x val="-9.0978013646702046E-3"/>
                  <c:y val="5.11508951406649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D2-464C-B6B7-3933480D17A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Graficos!$AA$5:$AA$11</c:f>
              <c:numCache>
                <c:formatCode>_-* #,##0_-;\-* #,##0_-;_-* "-"??_-;_-@_-</c:formatCode>
                <c:ptCount val="7"/>
                <c:pt idx="0">
                  <c:v>18938010.693</c:v>
                </c:pt>
                <c:pt idx="1">
                  <c:v>1071289.585</c:v>
                </c:pt>
                <c:pt idx="2">
                  <c:v>580888.02300000004</c:v>
                </c:pt>
                <c:pt idx="3">
                  <c:v>605832.33400000003</c:v>
                </c:pt>
                <c:pt idx="4">
                  <c:v>274762</c:v>
                </c:pt>
                <c:pt idx="5">
                  <c:v>103396.266</c:v>
                </c:pt>
                <c:pt idx="6">
                  <c:v>21574178.900999997</c:v>
                </c:pt>
              </c:numCache>
            </c:numRef>
          </c:val>
          <c:extLst>
            <c:ext xmlns:c16="http://schemas.microsoft.com/office/drawing/2014/chart" uri="{C3380CC4-5D6E-409C-BE32-E72D297353CC}">
              <c16:uniqueId val="{00000001-9859-4AE2-B3A8-08776A38CC98}"/>
            </c:ext>
          </c:extLst>
        </c:ser>
        <c:ser>
          <c:idx val="3"/>
          <c:order val="1"/>
          <c:tx>
            <c:strRef>
              <c:f>Graficos!$AE$4</c:f>
              <c:strCache>
                <c:ptCount val="1"/>
                <c:pt idx="0">
                  <c:v>Pasivos 2023</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8195602729340409E-2"/>
                  <c:y val="-1.023017902813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859-4AE2-B3A8-08776A38CC98}"/>
                </c:ext>
              </c:extLst>
            </c:dLbl>
            <c:dLbl>
              <c:idx val="1"/>
              <c:layout>
                <c:manualLayout>
                  <c:x val="8.7186659146464875E-3"/>
                  <c:y val="5.1151361637351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859-4AE2-B3A8-08776A38CC98}"/>
                </c:ext>
              </c:extLst>
            </c:dLbl>
            <c:dLbl>
              <c:idx val="2"/>
              <c:layout>
                <c:manualLayout>
                  <c:x val="1.5163002274450341E-3"/>
                  <c:y val="-9.377555778797334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859-4AE2-B3A8-08776A38CC98}"/>
                </c:ext>
              </c:extLst>
            </c:dLbl>
            <c:dLbl>
              <c:idx val="5"/>
              <c:layout>
                <c:manualLayout>
                  <c:x val="1.6679302501895376E-2"/>
                  <c:y val="-2.0460358056265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D2-464C-B6B7-3933480D17A2}"/>
                </c:ext>
              </c:extLst>
            </c:dLbl>
            <c:dLbl>
              <c:idx val="6"/>
              <c:layout>
                <c:manualLayout>
                  <c:x val="0"/>
                  <c:y val="-2.0143326908352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C7-4DDD-A318-2CEF47C13FF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Graficos!$AE$5:$AE$11</c:f>
              <c:numCache>
                <c:formatCode>_-* #,##0_-;\-* #,##0_-;_-* "-"??_-;_-@_-</c:formatCode>
                <c:ptCount val="7"/>
                <c:pt idx="0">
                  <c:v>20044894.932999998</c:v>
                </c:pt>
                <c:pt idx="1">
                  <c:v>1048045.4669999999</c:v>
                </c:pt>
                <c:pt idx="2">
                  <c:v>543831.29799999995</c:v>
                </c:pt>
                <c:pt idx="3">
                  <c:v>488788.91800000001</c:v>
                </c:pt>
                <c:pt idx="4">
                  <c:v>260397</c:v>
                </c:pt>
                <c:pt idx="5">
                  <c:v>173553.43700000001</c:v>
                </c:pt>
                <c:pt idx="6">
                  <c:v>22559511.052999999</c:v>
                </c:pt>
              </c:numCache>
            </c:numRef>
          </c:val>
          <c:extLst>
            <c:ext xmlns:c16="http://schemas.microsoft.com/office/drawing/2014/chart" uri="{C3380CC4-5D6E-409C-BE32-E72D297353CC}">
              <c16:uniqueId val="{00000008-9859-4AE2-B3A8-08776A38CC98}"/>
            </c:ext>
          </c:extLst>
        </c:ser>
        <c:ser>
          <c:idx val="6"/>
          <c:order val="2"/>
          <c:tx>
            <c:strRef>
              <c:f>Graficos!$AI$4</c:f>
              <c:strCache>
                <c:ptCount val="1"/>
                <c:pt idx="0">
                  <c:v>Patrimonio 2023</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3.0326004548900404E-3"/>
                  <c:y val="-2.045995529331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859-4AE2-B3A8-08776A38CC98}"/>
                </c:ext>
              </c:extLst>
            </c:dLbl>
            <c:dLbl>
              <c:idx val="1"/>
              <c:layout>
                <c:manualLayout>
                  <c:x val="1.2130401819560162E-2"/>
                  <c:y val="2.5575447570332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859-4AE2-B3A8-08776A38CC98}"/>
                </c:ext>
              </c:extLst>
            </c:dLbl>
            <c:dLbl>
              <c:idx val="2"/>
              <c:layout>
                <c:manualLayout>
                  <c:x val="1.061410159211524E-2"/>
                  <c:y val="2.0460358056265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859-4AE2-B3A8-08776A38CC98}"/>
                </c:ext>
              </c:extLst>
            </c:dLbl>
            <c:dLbl>
              <c:idx val="3"/>
              <c:layout>
                <c:manualLayout>
                  <c:x val="0"/>
                  <c:y val="1.5107495181264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859-4AE2-B3A8-08776A38CC98}"/>
                </c:ext>
              </c:extLst>
            </c:dLbl>
            <c:dLbl>
              <c:idx val="5"/>
              <c:layout>
                <c:manualLayout>
                  <c:x val="1.1119406548930273E-16"/>
                  <c:y val="3.0691342610306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D2-464C-B6B7-3933480D17A2}"/>
                </c:ext>
              </c:extLst>
            </c:dLbl>
            <c:dLbl>
              <c:idx val="6"/>
              <c:layout>
                <c:manualLayout>
                  <c:x val="0"/>
                  <c:y val="-2.5179158635440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C7-4DDD-A318-2CEF47C13FF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Graficos!$AI$5:$AI$11</c:f>
              <c:numCache>
                <c:formatCode>_-* #,##0_-;\-* #,##0_-;_-* "-"??_-;_-@_-</c:formatCode>
                <c:ptCount val="7"/>
                <c:pt idx="0">
                  <c:v>-1106884.24</c:v>
                </c:pt>
                <c:pt idx="1">
                  <c:v>23244.117999999999</c:v>
                </c:pt>
                <c:pt idx="2">
                  <c:v>37056.724999999999</c:v>
                </c:pt>
                <c:pt idx="3">
                  <c:v>117043.416</c:v>
                </c:pt>
                <c:pt idx="4">
                  <c:v>14365</c:v>
                </c:pt>
                <c:pt idx="5">
                  <c:v>-70157.171000000002</c:v>
                </c:pt>
                <c:pt idx="6">
                  <c:v>-985332.152</c:v>
                </c:pt>
              </c:numCache>
            </c:numRef>
          </c:val>
          <c:extLst>
            <c:ext xmlns:c16="http://schemas.microsoft.com/office/drawing/2014/chart" uri="{C3380CC4-5D6E-409C-BE32-E72D297353CC}">
              <c16:uniqueId val="{0000000A-9859-4AE2-B3A8-08776A38CC98}"/>
            </c:ext>
          </c:extLst>
        </c:ser>
        <c:dLbls>
          <c:showLegendKey val="0"/>
          <c:showVal val="0"/>
          <c:showCatName val="0"/>
          <c:showSerName val="0"/>
          <c:showPercent val="0"/>
          <c:showBubbleSize val="0"/>
        </c:dLbls>
        <c:gapWidth val="100"/>
        <c:overlap val="-24"/>
        <c:axId val="1726824992"/>
        <c:axId val="1726827072"/>
      </c:barChart>
      <c:catAx>
        <c:axId val="1726824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crossAx val="1726827072"/>
        <c:crosses val="autoZero"/>
        <c:auto val="1"/>
        <c:lblAlgn val="ctr"/>
        <c:lblOffset val="100"/>
        <c:noMultiLvlLbl val="0"/>
      </c:catAx>
      <c:valAx>
        <c:axId val="172682707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s-CO"/>
          </a:p>
        </c:txPr>
        <c:crossAx val="1726824992"/>
        <c:crosses val="autoZero"/>
        <c:crossBetween val="between"/>
      </c:valAx>
      <c:spPr>
        <a:noFill/>
        <a:ln>
          <a:noFill/>
        </a:ln>
        <a:effectLst/>
      </c:spPr>
    </c:plotArea>
    <c:legend>
      <c:legendPos val="t"/>
      <c:layout>
        <c:manualLayout>
          <c:xMode val="edge"/>
          <c:yMode val="edge"/>
          <c:x val="0.41888847363338272"/>
          <c:y val="0.12856478399255808"/>
          <c:w val="0.27611455165153193"/>
          <c:h val="7.2815351118410643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Utilidad Operacional</a:t>
            </a:r>
          </a:p>
        </c:rich>
      </c:tx>
      <c:layout>
        <c:manualLayout>
          <c:xMode val="edge"/>
          <c:yMode val="edge"/>
          <c:x val="0.41052189740397599"/>
          <c:y val="1.229174943689939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042041547667722E-2"/>
          <c:y val="0.23164673118150308"/>
          <c:w val="0.91619513616174564"/>
          <c:h val="0.60971689607501356"/>
        </c:manualLayout>
      </c:layout>
      <c:barChart>
        <c:barDir val="col"/>
        <c:grouping val="clustered"/>
        <c:varyColors val="0"/>
        <c:ser>
          <c:idx val="1"/>
          <c:order val="0"/>
          <c:tx>
            <c:strRef>
              <c:f>Graficos!$J$4</c:f>
              <c:strCache>
                <c:ptCount val="1"/>
                <c:pt idx="0">
                  <c:v>Utilidad Operacional 2022</c:v>
                </c:pt>
              </c:strCache>
            </c:strRef>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2"/>
              <c:layout>
                <c:manualLayout>
                  <c:x val="0"/>
                  <c:y val="-4.0084793541613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0F-4D39-9F33-4ED4A3ACFD19}"/>
                </c:ext>
              </c:extLst>
            </c:dLbl>
            <c:dLbl>
              <c:idx val="4"/>
              <c:layout>
                <c:manualLayout>
                  <c:x val="-1.1056436954368256E-2"/>
                  <c:y val="-3.5074194348912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0F-4D39-9F33-4ED4A3ACFD1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Graficos!$J$5:$J$11</c:f>
              <c:numCache>
                <c:formatCode>_-* #,##0_-;\-* #,##0_-;_-* "-"??_-;_-@_-</c:formatCode>
                <c:ptCount val="7"/>
                <c:pt idx="0">
                  <c:v>-256658.652</c:v>
                </c:pt>
                <c:pt idx="1">
                  <c:v>-365478.89299999998</c:v>
                </c:pt>
                <c:pt idx="2">
                  <c:v>-32371.126</c:v>
                </c:pt>
                <c:pt idx="3">
                  <c:v>30920.741000000002</c:v>
                </c:pt>
                <c:pt idx="4">
                  <c:v>-69583</c:v>
                </c:pt>
                <c:pt idx="5">
                  <c:v>12789.803</c:v>
                </c:pt>
                <c:pt idx="6">
                  <c:v>-680381.12699999998</c:v>
                </c:pt>
              </c:numCache>
            </c:numRef>
          </c:val>
          <c:extLst>
            <c:ext xmlns:c16="http://schemas.microsoft.com/office/drawing/2014/chart" uri="{C3380CC4-5D6E-409C-BE32-E72D297353CC}">
              <c16:uniqueId val="{00000001-D10F-4D39-9F33-4ED4A3ACFD19}"/>
            </c:ext>
          </c:extLst>
        </c:ser>
        <c:ser>
          <c:idx val="2"/>
          <c:order val="1"/>
          <c:tx>
            <c:strRef>
              <c:f>Graficos!$K$4</c:f>
              <c:strCache>
                <c:ptCount val="1"/>
                <c:pt idx="0">
                  <c:v>Utilidad Operacional 2023</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5794909934811504E-3"/>
                  <c:y val="-2.5052995963508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0F-4D39-9F33-4ED4A3ACFD19}"/>
                </c:ext>
              </c:extLst>
            </c:dLbl>
            <c:dLbl>
              <c:idx val="3"/>
              <c:layout>
                <c:manualLayout>
                  <c:x val="0"/>
                  <c:y val="-1.503179757810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0F-4D39-9F33-4ED4A3ACFD19}"/>
                </c:ext>
              </c:extLst>
            </c:dLbl>
            <c:dLbl>
              <c:idx val="4"/>
              <c:layout>
                <c:manualLayout>
                  <c:x val="3.158981986962359E-3"/>
                  <c:y val="-6.0126795777051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0F-4D39-9F33-4ED4A3ACFD1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Graficos!$K$5:$K$11</c:f>
              <c:numCache>
                <c:formatCode>_-* #,##0_-;\-* #,##0_-;_-* "-"??_-;_-@_-</c:formatCode>
                <c:ptCount val="7"/>
                <c:pt idx="0">
                  <c:v>1611114.2679999999</c:v>
                </c:pt>
                <c:pt idx="1">
                  <c:v>-36869.603000000003</c:v>
                </c:pt>
                <c:pt idx="2">
                  <c:v>57208.093000000001</c:v>
                </c:pt>
                <c:pt idx="3">
                  <c:v>83138.856</c:v>
                </c:pt>
                <c:pt idx="4">
                  <c:v>-71935</c:v>
                </c:pt>
                <c:pt idx="5">
                  <c:v>-15842.603999999999</c:v>
                </c:pt>
                <c:pt idx="6">
                  <c:v>1626814.01</c:v>
                </c:pt>
              </c:numCache>
            </c:numRef>
          </c:val>
          <c:extLst>
            <c:ext xmlns:c16="http://schemas.microsoft.com/office/drawing/2014/chart" uri="{C3380CC4-5D6E-409C-BE32-E72D297353CC}">
              <c16:uniqueId val="{00000007-D10F-4D39-9F33-4ED4A3ACFD19}"/>
            </c:ext>
          </c:extLst>
        </c:ser>
        <c:dLbls>
          <c:showLegendKey val="0"/>
          <c:showVal val="0"/>
          <c:showCatName val="0"/>
          <c:showSerName val="0"/>
          <c:showPercent val="0"/>
          <c:showBubbleSize val="0"/>
        </c:dLbls>
        <c:gapWidth val="219"/>
        <c:axId val="1726824992"/>
        <c:axId val="1726827072"/>
      </c:barChart>
      <c:lineChart>
        <c:grouping val="standard"/>
        <c:varyColors val="0"/>
        <c:ser>
          <c:idx val="4"/>
          <c:order val="2"/>
          <c:tx>
            <c:strRef>
              <c:f>Graficos!$M$4</c:f>
              <c:strCache>
                <c:ptCount val="1"/>
                <c:pt idx="0">
                  <c:v>% Var Utilidad Operacional 2023 - 2022</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2.3692364902217693E-2"/>
                  <c:y val="-0.40585853460883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0F-4D39-9F33-4ED4A3ACFD19}"/>
                </c:ext>
              </c:extLst>
            </c:dLbl>
            <c:dLbl>
              <c:idx val="1"/>
              <c:layout>
                <c:manualLayout>
                  <c:x val="-2.52718558956989E-2"/>
                  <c:y val="-0.410869133801541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0F-4D39-9F33-4ED4A3ACFD19}"/>
                </c:ext>
              </c:extLst>
            </c:dLbl>
            <c:dLbl>
              <c:idx val="2"/>
              <c:layout>
                <c:manualLayout>
                  <c:x val="-1.7374400928292975E-2"/>
                  <c:y val="-0.405858534608839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0F-4D39-9F33-4ED4A3ACFD19}"/>
                </c:ext>
              </c:extLst>
            </c:dLbl>
            <c:dLbl>
              <c:idx val="3"/>
              <c:layout>
                <c:manualLayout>
                  <c:x val="-1.4215418941330674E-2"/>
                  <c:y val="-0.400847935416138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0F-4D39-9F33-4ED4A3ACFD19}"/>
                </c:ext>
              </c:extLst>
            </c:dLbl>
            <c:dLbl>
              <c:idx val="4"/>
              <c:layout>
                <c:manualLayout>
                  <c:x val="-1.737440092829309E-2"/>
                  <c:y val="-0.400847935416138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10F-4D39-9F33-4ED4A3ACFD19}"/>
                </c:ext>
              </c:extLst>
            </c:dLbl>
            <c:dLbl>
              <c:idx val="5"/>
              <c:layout>
                <c:manualLayout>
                  <c:x val="-3.4748801856585951E-2"/>
                  <c:y val="-0.395837336223436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0F-4D39-9F33-4ED4A3ACFD19}"/>
                </c:ext>
              </c:extLst>
            </c:dLbl>
            <c:dLbl>
              <c:idx val="6"/>
              <c:layout>
                <c:manualLayout>
                  <c:x val="-1.8953891921774154E-2"/>
                  <c:y val="-0.400847935416138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10F-4D39-9F33-4ED4A3ACFD19}"/>
                </c:ext>
              </c:extLst>
            </c:dLbl>
            <c:spPr>
              <a:solidFill>
                <a:schemeClr val="bg1"/>
              </a:solidFill>
              <a:ln>
                <a:solidFill>
                  <a:schemeClr val="accent1">
                    <a:shade val="50000"/>
                  </a:schemeClr>
                </a:solid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Graficos!$M$5:$M$11</c:f>
              <c:numCache>
                <c:formatCode>0.0%</c:formatCode>
                <c:ptCount val="7"/>
                <c:pt idx="0">
                  <c:v>-7.2772645903244282</c:v>
                </c:pt>
                <c:pt idx="1">
                  <c:v>-0.89911974752533796</c:v>
                </c:pt>
                <c:pt idx="2">
                  <c:v>-2.7672568139891087</c:v>
                </c:pt>
                <c:pt idx="3">
                  <c:v>1.6887730795326021</c:v>
                </c:pt>
                <c:pt idx="4">
                  <c:v>3.3801359527470876E-2</c:v>
                </c:pt>
                <c:pt idx="5">
                  <c:v>-2.2386902284577799</c:v>
                </c:pt>
                <c:pt idx="6">
                  <c:v>-3.3910334155991366</c:v>
                </c:pt>
              </c:numCache>
            </c:numRef>
          </c:val>
          <c:smooth val="0"/>
          <c:extLst>
            <c:ext xmlns:c16="http://schemas.microsoft.com/office/drawing/2014/chart" uri="{C3380CC4-5D6E-409C-BE32-E72D297353CC}">
              <c16:uniqueId val="{0000000F-D10F-4D39-9F33-4ED4A3ACFD19}"/>
            </c:ext>
          </c:extLst>
        </c:ser>
        <c:dLbls>
          <c:showLegendKey val="0"/>
          <c:showVal val="0"/>
          <c:showCatName val="0"/>
          <c:showSerName val="0"/>
          <c:showPercent val="0"/>
          <c:showBubbleSize val="0"/>
        </c:dLbls>
        <c:marker val="1"/>
        <c:smooth val="0"/>
        <c:axId val="1726824992"/>
        <c:axId val="1726827072"/>
      </c:lineChart>
      <c:catAx>
        <c:axId val="1726824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crossAx val="1726827072"/>
        <c:crosses val="autoZero"/>
        <c:auto val="1"/>
        <c:lblAlgn val="ctr"/>
        <c:lblOffset val="100"/>
        <c:noMultiLvlLbl val="0"/>
      </c:catAx>
      <c:valAx>
        <c:axId val="1726827072"/>
        <c:scaling>
          <c:orientation val="minMax"/>
          <c:max val="2500000"/>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s-CO"/>
          </a:p>
        </c:txPr>
        <c:crossAx val="1726824992"/>
        <c:crosses val="autoZero"/>
        <c:crossBetween val="between"/>
      </c:valAx>
      <c:spPr>
        <a:noFill/>
        <a:ln>
          <a:noFill/>
        </a:ln>
        <a:effectLst/>
      </c:spPr>
    </c:plotArea>
    <c:legend>
      <c:legendPos val="t"/>
      <c:layout>
        <c:manualLayout>
          <c:xMode val="edge"/>
          <c:yMode val="edge"/>
          <c:x val="0.22516489823787258"/>
          <c:y val="0.12792059738967509"/>
          <c:w val="0.70893326526183176"/>
          <c:h val="8.4554453179895905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0502578638279761"/>
          <c:y val="3.240740740740740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CO"/>
        </a:p>
      </c:txPr>
    </c:title>
    <c:autoTitleDeleted val="0"/>
    <c:plotArea>
      <c:layout/>
      <c:ofPieChart>
        <c:ofPieType val="bar"/>
        <c:varyColors val="1"/>
        <c:ser>
          <c:idx val="0"/>
          <c:order val="0"/>
          <c:tx>
            <c:strRef>
              <c:f>Graficos!$O$4</c:f>
              <c:strCache>
                <c:ptCount val="1"/>
                <c:pt idx="0">
                  <c:v>% Participación sobre el Total 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B3D-4DBF-8B93-1ABF2359CD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B3D-4DBF-8B93-1ABF2359CD9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B3D-4DBF-8B93-1ABF2359CD9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B3D-4DBF-8B93-1ABF2359CD9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B3D-4DBF-8B93-1ABF2359CD9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B3D-4DBF-8B93-1ABF2359CD9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B3D-4DBF-8B93-1ABF2359CD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Graficos!$A$5:$A$10</c:f>
              <c:strCache>
                <c:ptCount val="6"/>
                <c:pt idx="0">
                  <c:v>AVIANCA</c:v>
                </c:pt>
                <c:pt idx="1">
                  <c:v>LATAM</c:v>
                </c:pt>
                <c:pt idx="2">
                  <c:v>AEROREPUBLICA SA</c:v>
                </c:pt>
                <c:pt idx="3">
                  <c:v>CLIC</c:v>
                </c:pt>
                <c:pt idx="4">
                  <c:v>SATENA</c:v>
                </c:pt>
                <c:pt idx="5">
                  <c:v>REGIONAL EXPRESS 
AMERICAS SAS</c:v>
                </c:pt>
              </c:strCache>
            </c:strRef>
          </c:cat>
          <c:val>
            <c:numRef>
              <c:f>Graficos!$O$5:$O$10</c:f>
              <c:numCache>
                <c:formatCode>0.0%</c:formatCode>
                <c:ptCount val="6"/>
                <c:pt idx="0">
                  <c:v>0.99034939341344863</c:v>
                </c:pt>
                <c:pt idx="1">
                  <c:v>-2.2663686674299049E-2</c:v>
                </c:pt>
                <c:pt idx="2">
                  <c:v>3.5165724322720825E-2</c:v>
                </c:pt>
                <c:pt idx="3">
                  <c:v>5.1105323343016942E-2</c:v>
                </c:pt>
                <c:pt idx="4">
                  <c:v>-4.4218330772796827E-2</c:v>
                </c:pt>
                <c:pt idx="5">
                  <c:v>-9.7384236320905548E-3</c:v>
                </c:pt>
              </c:numCache>
            </c:numRef>
          </c:val>
          <c:extLst>
            <c:ext xmlns:c16="http://schemas.microsoft.com/office/drawing/2014/chart" uri="{C3380CC4-5D6E-409C-BE32-E72D297353CC}">
              <c16:uniqueId val="{0000000E-6B3D-4DBF-8B93-1ABF2359CD9E}"/>
            </c:ext>
          </c:extLst>
        </c:ser>
        <c:dLbls>
          <c:showLegendKey val="0"/>
          <c:showVal val="0"/>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Utilidad Neta</a:t>
            </a:r>
          </a:p>
        </c:rich>
      </c:tx>
      <c:layout>
        <c:manualLayout>
          <c:xMode val="edge"/>
          <c:yMode val="edge"/>
          <c:x val="0.41683986137790063"/>
          <c:y val="1.229174943689939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042041547667722E-2"/>
          <c:y val="0.23164673118150308"/>
          <c:w val="0.91619513616174564"/>
          <c:h val="0.60971689607501356"/>
        </c:manualLayout>
      </c:layout>
      <c:barChart>
        <c:barDir val="col"/>
        <c:grouping val="clustered"/>
        <c:varyColors val="0"/>
        <c:ser>
          <c:idx val="1"/>
          <c:order val="0"/>
          <c:tx>
            <c:strRef>
              <c:f>Graficos!$R$4</c:f>
              <c:strCache>
                <c:ptCount val="1"/>
                <c:pt idx="0">
                  <c:v>Utilidad Neta 2022</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02119838540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EC-4055-8BBC-8F6A68907F76}"/>
                </c:ext>
              </c:extLst>
            </c:dLbl>
            <c:dLbl>
              <c:idx val="1"/>
              <c:layout>
                <c:manualLayout>
                  <c:x val="0"/>
                  <c:y val="-2.0042396770806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EC-4055-8BBC-8F6A68907F76}"/>
                </c:ext>
              </c:extLst>
            </c:dLbl>
            <c:dLbl>
              <c:idx val="2"/>
              <c:layout>
                <c:manualLayout>
                  <c:x val="-7.8974549674059556E-3"/>
                  <c:y val="-4.0084793541613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EC-4055-8BBC-8F6A68907F76}"/>
                </c:ext>
              </c:extLst>
            </c:dLbl>
            <c:dLbl>
              <c:idx val="4"/>
              <c:layout>
                <c:manualLayout>
                  <c:x val="-1.4215418941330615E-2"/>
                  <c:y val="-4.0084793541613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EC-4055-8BBC-8F6A68907F7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Graficos!$R$5:$R$11</c:f>
              <c:numCache>
                <c:formatCode>_-* #,##0_-;\-* #,##0_-;_-* "-"??_-;_-@_-</c:formatCode>
                <c:ptCount val="7"/>
                <c:pt idx="0">
                  <c:v>-801213.58700000006</c:v>
                </c:pt>
                <c:pt idx="1">
                  <c:v>-422853.27299999999</c:v>
                </c:pt>
                <c:pt idx="2">
                  <c:v>-30477.407999999999</c:v>
                </c:pt>
                <c:pt idx="3">
                  <c:v>3565.4270000000001</c:v>
                </c:pt>
                <c:pt idx="4">
                  <c:v>-2155</c:v>
                </c:pt>
                <c:pt idx="5">
                  <c:v>11856.657999999999</c:v>
                </c:pt>
                <c:pt idx="6">
                  <c:v>-1241277.1830000002</c:v>
                </c:pt>
              </c:numCache>
            </c:numRef>
          </c:val>
          <c:extLst>
            <c:ext xmlns:c16="http://schemas.microsoft.com/office/drawing/2014/chart" uri="{C3380CC4-5D6E-409C-BE32-E72D297353CC}">
              <c16:uniqueId val="{00000002-4CEC-4055-8BBC-8F6A68907F76}"/>
            </c:ext>
          </c:extLst>
        </c:ser>
        <c:ser>
          <c:idx val="2"/>
          <c:order val="1"/>
          <c:tx>
            <c:strRef>
              <c:f>Graficos!$S$4</c:f>
              <c:strCache>
                <c:ptCount val="1"/>
                <c:pt idx="0">
                  <c:v>Utilidad Neta 2023</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7374400928292975E-2"/>
                  <c:y val="-3.0063595156210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EC-4055-8BBC-8F6A68907F76}"/>
                </c:ext>
              </c:extLst>
            </c:dLbl>
            <c:dLbl>
              <c:idx val="5"/>
              <c:layout>
                <c:manualLayout>
                  <c:x val="-3.1589819869624748E-3"/>
                  <c:y val="-8.51801862759291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EC-4055-8BBC-8F6A68907F7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Graficos!$S$5:$S$11</c:f>
              <c:numCache>
                <c:formatCode>_-* #,##0_-;\-* #,##0_-;_-* "-"??_-;_-@_-</c:formatCode>
                <c:ptCount val="7"/>
                <c:pt idx="0">
                  <c:v>224732.58799999999</c:v>
                </c:pt>
                <c:pt idx="1">
                  <c:v>-58698.042000000001</c:v>
                </c:pt>
                <c:pt idx="2">
                  <c:v>59505.197</c:v>
                </c:pt>
                <c:pt idx="3">
                  <c:v>39138.383999999998</c:v>
                </c:pt>
                <c:pt idx="4">
                  <c:v>1080</c:v>
                </c:pt>
                <c:pt idx="5">
                  <c:v>-24493.09</c:v>
                </c:pt>
                <c:pt idx="6">
                  <c:v>241265.03699999998</c:v>
                </c:pt>
              </c:numCache>
            </c:numRef>
          </c:val>
          <c:extLst>
            <c:ext xmlns:c16="http://schemas.microsoft.com/office/drawing/2014/chart" uri="{C3380CC4-5D6E-409C-BE32-E72D297353CC}">
              <c16:uniqueId val="{00000006-4CEC-4055-8BBC-8F6A68907F76}"/>
            </c:ext>
          </c:extLst>
        </c:ser>
        <c:dLbls>
          <c:showLegendKey val="0"/>
          <c:showVal val="0"/>
          <c:showCatName val="0"/>
          <c:showSerName val="0"/>
          <c:showPercent val="0"/>
          <c:showBubbleSize val="0"/>
        </c:dLbls>
        <c:gapWidth val="219"/>
        <c:axId val="1726824992"/>
        <c:axId val="1726827072"/>
      </c:barChart>
      <c:lineChart>
        <c:grouping val="standard"/>
        <c:varyColors val="0"/>
        <c:ser>
          <c:idx val="4"/>
          <c:order val="2"/>
          <c:tx>
            <c:strRef>
              <c:f>Graficos!$U$4</c:f>
              <c:strCache>
                <c:ptCount val="1"/>
                <c:pt idx="0">
                  <c:v>% Var Utilidad Operacional 2023 - 2022</c:v>
                </c:pt>
              </c:strCache>
            </c:strRef>
          </c:tx>
          <c:spPr>
            <a:ln w="34925" cap="rnd">
              <a:solidFill>
                <a:schemeClr val="accent5"/>
              </a:solidFill>
              <a:round/>
            </a:ln>
            <a:effectLst>
              <a:outerShdw blurRad="40000" dist="23000" dir="5400000" rotWithShape="0">
                <a:srgbClr val="000000">
                  <a:alpha val="35000"/>
                </a:srgbClr>
              </a:outerShdw>
            </a:effectLst>
          </c:spPr>
          <c:marker>
            <c:symbol val="none"/>
          </c:marker>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Graficos!$U$5:$U$11</c:f>
              <c:numCache>
                <c:formatCode>0.0%</c:formatCode>
                <c:ptCount val="7"/>
                <c:pt idx="0">
                  <c:v>-1.2804902358701513</c:v>
                </c:pt>
                <c:pt idx="1">
                  <c:v>-0.86118579245335536</c:v>
                </c:pt>
                <c:pt idx="2">
                  <c:v>-2.9524362767332448</c:v>
                </c:pt>
                <c:pt idx="3">
                  <c:v>9.9771940359457645</c:v>
                </c:pt>
                <c:pt idx="4">
                  <c:v>-1.5011600928074245</c:v>
                </c:pt>
                <c:pt idx="5">
                  <c:v>-3.0657667615950466</c:v>
                </c:pt>
                <c:pt idx="6">
                  <c:v>-1.1943683814576329</c:v>
                </c:pt>
              </c:numCache>
            </c:numRef>
          </c:val>
          <c:smooth val="0"/>
          <c:extLst>
            <c:ext xmlns:c16="http://schemas.microsoft.com/office/drawing/2014/chart" uri="{C3380CC4-5D6E-409C-BE32-E72D297353CC}">
              <c16:uniqueId val="{0000000E-4CEC-4055-8BBC-8F6A68907F76}"/>
            </c:ext>
          </c:extLst>
        </c:ser>
        <c:dLbls>
          <c:showLegendKey val="0"/>
          <c:showVal val="0"/>
          <c:showCatName val="0"/>
          <c:showSerName val="0"/>
          <c:showPercent val="0"/>
          <c:showBubbleSize val="0"/>
        </c:dLbls>
        <c:marker val="1"/>
        <c:smooth val="0"/>
        <c:axId val="1726824992"/>
        <c:axId val="1726827072"/>
      </c:lineChart>
      <c:catAx>
        <c:axId val="1726824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crossAx val="1726827072"/>
        <c:crosses val="autoZero"/>
        <c:auto val="1"/>
        <c:lblAlgn val="ctr"/>
        <c:lblOffset val="100"/>
        <c:noMultiLvlLbl val="0"/>
      </c:catAx>
      <c:valAx>
        <c:axId val="1726827072"/>
        <c:scaling>
          <c:orientation val="minMax"/>
          <c:max val="2500000"/>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s-CO"/>
          </a:p>
        </c:txPr>
        <c:crossAx val="1726824992"/>
        <c:crosses val="autoZero"/>
        <c:crossBetween val="between"/>
      </c:valAx>
      <c:spPr>
        <a:noFill/>
        <a:ln>
          <a:noFill/>
        </a:ln>
        <a:effectLst/>
      </c:spPr>
    </c:plotArea>
    <c:legend>
      <c:legendPos val="t"/>
      <c:layout>
        <c:manualLayout>
          <c:xMode val="edge"/>
          <c:yMode val="edge"/>
          <c:x val="0.22516489823787258"/>
          <c:y val="0.12792059738967509"/>
          <c:w val="0.70893326526183176"/>
          <c:h val="8.4554453179895905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685BA6F-DAFE-4874-9C69-5C69826CBDAA}" type="doc">
      <dgm:prSet loTypeId="urn:microsoft.com/office/officeart/2005/8/layout/arrow6" loCatId="process" qsTypeId="urn:microsoft.com/office/officeart/2005/8/quickstyle/simple1" qsCatId="simple" csTypeId="urn:microsoft.com/office/officeart/2005/8/colors/accent1_2" csCatId="accent1" phldr="1"/>
      <dgm:spPr/>
      <dgm:t>
        <a:bodyPr/>
        <a:lstStyle/>
        <a:p>
          <a:endParaRPr lang="es-CO"/>
        </a:p>
      </dgm:t>
    </dgm:pt>
    <dgm:pt modelId="{211FC14F-B648-4035-8812-7FCC436FEFF2}">
      <dgm:prSet phldrT="[Texto]"/>
      <dgm:spPr/>
      <dgm:t>
        <a:bodyPr/>
        <a:lstStyle/>
        <a:p>
          <a:r>
            <a:rPr lang="es-CO"/>
            <a:t>VOLVER</a:t>
          </a:r>
        </a:p>
      </dgm:t>
    </dgm:pt>
    <dgm:pt modelId="{35F33D95-21DA-4F4C-8602-6C60B57F94AE}" type="parTrans" cxnId="{BC7EFFA9-AFFA-42C7-A8B3-82291B32E8D1}">
      <dgm:prSet/>
      <dgm:spPr/>
      <dgm:t>
        <a:bodyPr/>
        <a:lstStyle/>
        <a:p>
          <a:endParaRPr lang="es-CO"/>
        </a:p>
      </dgm:t>
    </dgm:pt>
    <dgm:pt modelId="{667E311A-7AF4-47CF-A7C8-A61FB13D290A}" type="sibTrans" cxnId="{BC7EFFA9-AFFA-42C7-A8B3-82291B32E8D1}">
      <dgm:prSet/>
      <dgm:spPr/>
      <dgm:t>
        <a:bodyPr/>
        <a:lstStyle/>
        <a:p>
          <a:endParaRPr lang="es-CO"/>
        </a:p>
      </dgm:t>
    </dgm:pt>
    <dgm:pt modelId="{062376AB-E37A-4B2C-ADA7-EC1DE35F07FC}">
      <dgm:prSet phldrT="[Texto]"/>
      <dgm:spPr/>
      <dgm:t>
        <a:bodyPr/>
        <a:lstStyle/>
        <a:p>
          <a:r>
            <a:rPr lang="es-CO"/>
            <a:t>INDICE</a:t>
          </a:r>
        </a:p>
      </dgm:t>
    </dgm:pt>
    <dgm:pt modelId="{08BA95D8-E4C1-4C5E-9380-FF94CDACA0F5}" type="parTrans" cxnId="{8373DC84-E61D-48A6-B58E-C2A43E7073E3}">
      <dgm:prSet/>
      <dgm:spPr/>
      <dgm:t>
        <a:bodyPr/>
        <a:lstStyle/>
        <a:p>
          <a:endParaRPr lang="es-CO"/>
        </a:p>
      </dgm:t>
    </dgm:pt>
    <dgm:pt modelId="{1944C0A2-43B2-42ED-84BD-3EB3DA181A98}" type="sibTrans" cxnId="{8373DC84-E61D-48A6-B58E-C2A43E7073E3}">
      <dgm:prSet/>
      <dgm:spPr/>
      <dgm:t>
        <a:bodyPr/>
        <a:lstStyle/>
        <a:p>
          <a:endParaRPr lang="es-CO"/>
        </a:p>
      </dgm:t>
    </dgm:pt>
    <dgm:pt modelId="{7108008D-38EA-49F2-93CF-F41FDD404E70}" type="pres">
      <dgm:prSet presAssocID="{8685BA6F-DAFE-4874-9C69-5C69826CBDAA}" presName="compositeShape" presStyleCnt="0">
        <dgm:presLayoutVars>
          <dgm:chMax val="2"/>
          <dgm:dir/>
          <dgm:resizeHandles val="exact"/>
        </dgm:presLayoutVars>
      </dgm:prSet>
      <dgm:spPr/>
    </dgm:pt>
    <dgm:pt modelId="{62883BE5-C6D4-410F-8829-266377DDCA76}" type="pres">
      <dgm:prSet presAssocID="{8685BA6F-DAFE-4874-9C69-5C69826CBDAA}" presName="ribbon" presStyleLbl="node1" presStyleIdx="0" presStyleCnt="1"/>
      <dgm:spPr/>
    </dgm:pt>
    <dgm:pt modelId="{DE57DE37-015C-4F01-93F1-98FE65578ED8}" type="pres">
      <dgm:prSet presAssocID="{8685BA6F-DAFE-4874-9C69-5C69826CBDAA}" presName="leftArrowText" presStyleLbl="node1" presStyleIdx="0" presStyleCnt="1">
        <dgm:presLayoutVars>
          <dgm:chMax val="0"/>
          <dgm:bulletEnabled val="1"/>
        </dgm:presLayoutVars>
      </dgm:prSet>
      <dgm:spPr/>
    </dgm:pt>
    <dgm:pt modelId="{1594C05D-8FD1-4965-8CBE-15BD7F2C19FA}" type="pres">
      <dgm:prSet presAssocID="{8685BA6F-DAFE-4874-9C69-5C69826CBDAA}" presName="rightArrowText" presStyleLbl="node1" presStyleIdx="0" presStyleCnt="1">
        <dgm:presLayoutVars>
          <dgm:chMax val="0"/>
          <dgm:bulletEnabled val="1"/>
        </dgm:presLayoutVars>
      </dgm:prSet>
      <dgm:spPr/>
    </dgm:pt>
  </dgm:ptLst>
  <dgm:cxnLst>
    <dgm:cxn modelId="{5C16721E-4BD8-4AFA-A840-B8CD05C785E4}" type="presOf" srcId="{8685BA6F-DAFE-4874-9C69-5C69826CBDAA}" destId="{7108008D-38EA-49F2-93CF-F41FDD404E70}" srcOrd="0" destOrd="0" presId="urn:microsoft.com/office/officeart/2005/8/layout/arrow6"/>
    <dgm:cxn modelId="{D19ADB6C-046D-44B9-8550-D6B008969AF5}" type="presOf" srcId="{062376AB-E37A-4B2C-ADA7-EC1DE35F07FC}" destId="{1594C05D-8FD1-4965-8CBE-15BD7F2C19FA}" srcOrd="0" destOrd="0" presId="urn:microsoft.com/office/officeart/2005/8/layout/arrow6"/>
    <dgm:cxn modelId="{60B85153-A8FF-462C-A4B2-70D244577749}" type="presOf" srcId="{211FC14F-B648-4035-8812-7FCC436FEFF2}" destId="{DE57DE37-015C-4F01-93F1-98FE65578ED8}" srcOrd="0" destOrd="0" presId="urn:microsoft.com/office/officeart/2005/8/layout/arrow6"/>
    <dgm:cxn modelId="{8373DC84-E61D-48A6-B58E-C2A43E7073E3}" srcId="{8685BA6F-DAFE-4874-9C69-5C69826CBDAA}" destId="{062376AB-E37A-4B2C-ADA7-EC1DE35F07FC}" srcOrd="1" destOrd="0" parTransId="{08BA95D8-E4C1-4C5E-9380-FF94CDACA0F5}" sibTransId="{1944C0A2-43B2-42ED-84BD-3EB3DA181A98}"/>
    <dgm:cxn modelId="{BC7EFFA9-AFFA-42C7-A8B3-82291B32E8D1}" srcId="{8685BA6F-DAFE-4874-9C69-5C69826CBDAA}" destId="{211FC14F-B648-4035-8812-7FCC436FEFF2}" srcOrd="0" destOrd="0" parTransId="{35F33D95-21DA-4F4C-8602-6C60B57F94AE}" sibTransId="{667E311A-7AF4-47CF-A7C8-A61FB13D290A}"/>
    <dgm:cxn modelId="{608A0D3D-A7E9-420F-AE92-FE97B8137FFA}" type="presParOf" srcId="{7108008D-38EA-49F2-93CF-F41FDD404E70}" destId="{62883BE5-C6D4-410F-8829-266377DDCA76}" srcOrd="0" destOrd="0" presId="urn:microsoft.com/office/officeart/2005/8/layout/arrow6"/>
    <dgm:cxn modelId="{D8AED543-2F81-4DCF-A3E5-8FBA31091604}" type="presParOf" srcId="{7108008D-38EA-49F2-93CF-F41FDD404E70}" destId="{DE57DE37-015C-4F01-93F1-98FE65578ED8}" srcOrd="1" destOrd="0" presId="urn:microsoft.com/office/officeart/2005/8/layout/arrow6"/>
    <dgm:cxn modelId="{84FFFA0F-EAB2-451F-8B63-DE4CA1E51D13}" type="presParOf" srcId="{7108008D-38EA-49F2-93CF-F41FDD404E70}" destId="{1594C05D-8FD1-4965-8CBE-15BD7F2C19FA}" srcOrd="2" destOrd="0" presId="urn:microsoft.com/office/officeart/2005/8/layout/arrow6"/>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2883BE5-C6D4-410F-8829-266377DDCA76}">
      <dsp:nvSpPr>
        <dsp:cNvPr id="0" name=""/>
        <dsp:cNvSpPr/>
      </dsp:nvSpPr>
      <dsp:spPr>
        <a:xfrm>
          <a:off x="0" y="415762"/>
          <a:ext cx="1000084" cy="400033"/>
        </a:xfrm>
        <a:prstGeom prst="leftRightRibbon">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DE57DE37-015C-4F01-93F1-98FE65578ED8}">
      <dsp:nvSpPr>
        <dsp:cNvPr id="0" name=""/>
        <dsp:cNvSpPr/>
      </dsp:nvSpPr>
      <dsp:spPr>
        <a:xfrm>
          <a:off x="120010" y="485768"/>
          <a:ext cx="330027" cy="196016"/>
        </a:xfrm>
        <a:prstGeom prst="rect">
          <a:avLst/>
        </a:prstGeom>
        <a:noFill/>
        <a:ln w="25400" cap="flat" cmpd="sng" algn="ctr">
          <a:noFill/>
          <a:prstDash val="solid"/>
        </a:ln>
        <a:effectLst/>
        <a:sp3d/>
      </dsp:spPr>
      <dsp:style>
        <a:lnRef idx="2">
          <a:scrgbClr r="0" g="0" b="0"/>
        </a:lnRef>
        <a:fillRef idx="1">
          <a:scrgbClr r="0" g="0" b="0"/>
        </a:fillRef>
        <a:effectRef idx="0">
          <a:scrgbClr r="0" g="0" b="0"/>
        </a:effectRef>
        <a:fontRef idx="minor">
          <a:schemeClr val="lt1"/>
        </a:fontRef>
      </dsp:style>
      <dsp:txBody>
        <a:bodyPr spcFirstLastPara="0" vert="horz" wrap="square" lIns="0" tIns="24892" rIns="0" bIns="26670" numCol="1" spcCol="1270" anchor="ctr" anchorCtr="0">
          <a:noAutofit/>
        </a:bodyPr>
        <a:lstStyle/>
        <a:p>
          <a:pPr marL="0" lvl="0" indent="0" algn="ctr" defTabSz="311150">
            <a:lnSpc>
              <a:spcPct val="90000"/>
            </a:lnSpc>
            <a:spcBef>
              <a:spcPct val="0"/>
            </a:spcBef>
            <a:spcAft>
              <a:spcPct val="35000"/>
            </a:spcAft>
            <a:buNone/>
          </a:pPr>
          <a:r>
            <a:rPr lang="es-CO" sz="700" kern="1200"/>
            <a:t>VOLVER</a:t>
          </a:r>
        </a:p>
      </dsp:txBody>
      <dsp:txXfrm>
        <a:off x="120010" y="485768"/>
        <a:ext cx="330027" cy="196016"/>
      </dsp:txXfrm>
    </dsp:sp>
    <dsp:sp modelId="{1594C05D-8FD1-4965-8CBE-15BD7F2C19FA}">
      <dsp:nvSpPr>
        <dsp:cNvPr id="0" name=""/>
        <dsp:cNvSpPr/>
      </dsp:nvSpPr>
      <dsp:spPr>
        <a:xfrm>
          <a:off x="500042" y="549773"/>
          <a:ext cx="390032" cy="196016"/>
        </a:xfrm>
        <a:prstGeom prst="rect">
          <a:avLst/>
        </a:prstGeom>
        <a:noFill/>
        <a:ln w="25400" cap="flat" cmpd="sng" algn="ctr">
          <a:noFill/>
          <a:prstDash val="solid"/>
        </a:ln>
        <a:effectLst/>
        <a:sp3d/>
      </dsp:spPr>
      <dsp:style>
        <a:lnRef idx="2">
          <a:scrgbClr r="0" g="0" b="0"/>
        </a:lnRef>
        <a:fillRef idx="1">
          <a:scrgbClr r="0" g="0" b="0"/>
        </a:fillRef>
        <a:effectRef idx="0">
          <a:scrgbClr r="0" g="0" b="0"/>
        </a:effectRef>
        <a:fontRef idx="minor">
          <a:schemeClr val="lt1"/>
        </a:fontRef>
      </dsp:style>
      <dsp:txBody>
        <a:bodyPr spcFirstLastPara="0" vert="horz" wrap="square" lIns="0" tIns="24892" rIns="0" bIns="26670" numCol="1" spcCol="1270" anchor="ctr" anchorCtr="0">
          <a:noAutofit/>
        </a:bodyPr>
        <a:lstStyle/>
        <a:p>
          <a:pPr marL="0" lvl="0" indent="0" algn="ctr" defTabSz="311150">
            <a:lnSpc>
              <a:spcPct val="90000"/>
            </a:lnSpc>
            <a:spcBef>
              <a:spcPct val="0"/>
            </a:spcBef>
            <a:spcAft>
              <a:spcPct val="35000"/>
            </a:spcAft>
            <a:buNone/>
          </a:pPr>
          <a:r>
            <a:rPr lang="es-CO" sz="700" kern="1200"/>
            <a:t>INDICE</a:t>
          </a:r>
        </a:p>
      </dsp:txBody>
      <dsp:txXfrm>
        <a:off x="500042" y="549773"/>
        <a:ext cx="390032" cy="196016"/>
      </dsp:txXfrm>
    </dsp:sp>
  </dsp:spTree>
</dsp:drawing>
</file>

<file path=xl/diagrams/layout1.xml><?xml version="1.0" encoding="utf-8"?>
<dgm:layoutDef xmlns:dgm="http://schemas.openxmlformats.org/drawingml/2006/diagram" xmlns:a="http://schemas.openxmlformats.org/drawingml/2006/main" uniqueId="urn:microsoft.com/office/officeart/2005/8/layout/arrow6">
  <dgm:title val=""/>
  <dgm:desc val=""/>
  <dgm:catLst>
    <dgm:cat type="relationship" pri="4000"/>
    <dgm:cat type="process" pri="29000"/>
  </dgm:catLst>
  <dgm:sampData>
    <dgm:dataModel>
      <dgm:ptLst>
        <dgm:pt modelId="0" type="doc"/>
        <dgm:pt modelId="1">
          <dgm:prSet phldr="1"/>
        </dgm:pt>
        <dgm:pt modelId="2">
          <dgm:prSet phldr="1"/>
        </dgm:pt>
      </dgm:ptLst>
      <dgm:cxnLst>
        <dgm:cxn modelId="4" srcId="0" destId="1" srcOrd="0" destOrd="0"/>
        <dgm:cxn modelId="5" srcId="0" destId="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Lst>
      <dgm:cxnLst>
        <dgm:cxn modelId="3" srcId="0" destId="1" srcOrd="0" destOrd="0"/>
        <dgm:cxn modelId="4" srcId="0" destId="2" srcOrd="1" destOrd="0"/>
      </dgm:cxnLst>
      <dgm:bg/>
      <dgm:whole/>
    </dgm:dataModel>
  </dgm:clrData>
  <dgm:layoutNode name="compositeShape">
    <dgm:varLst>
      <dgm:chMax val="2"/>
      <dgm:dir/>
      <dgm:resizeHandles val="exact"/>
    </dgm:varLst>
    <dgm:alg type="composite">
      <dgm:param type="horzAlign" val="ctr"/>
      <dgm:param type="vertAlign" val="mid"/>
      <dgm:param type="ar" val="2.5"/>
    </dgm:alg>
    <dgm:shape xmlns:r="http://schemas.openxmlformats.org/officeDocument/2006/relationships" r:blip="">
      <dgm:adjLst/>
    </dgm:shape>
    <dgm:presOf/>
    <dgm:constrLst>
      <dgm:constr type="primFontSz" for="des" ptType="node" op="equ"/>
      <dgm:constr type="w" for="ch" forName="ribbon" refType="h" refFor="ch" refForName="ribbon" fact="2.5"/>
      <dgm:constr type="h" for="ch" forName="leftArrowText" refType="h" fact="0.49"/>
      <dgm:constr type="ctrY" for="ch" forName="leftArrowText" refType="ctrY" refFor="ch" refForName="ribbon"/>
      <dgm:constr type="ctrYOff" for="ch" forName="leftArrowText" refType="h" refFor="ch" refForName="ribbon" fact="-0.08"/>
      <dgm:constr type="l" for="ch" forName="leftArrowText" refType="w" refFor="ch" refForName="ribbon" fact="0.12"/>
      <dgm:constr type="r" for="ch" forName="leftArrowText" refType="w" refFor="ch" refForName="ribbon" fact="0.45"/>
      <dgm:constr type="h" for="ch" forName="rightArrowText" refType="h" fact="0.49"/>
      <dgm:constr type="ctrY" for="ch" forName="rightArrowText" refType="ctrY" refFor="ch" refForName="ribbon"/>
      <dgm:constr type="ctrYOff" for="ch" forName="rightArrowText" refType="h" refFor="ch" refForName="ribbon" fact="0.08"/>
      <dgm:constr type="l" for="ch" forName="rightArrowText" refType="w" refFor="ch" refForName="ribbon" fact="0.5"/>
      <dgm:constr type="r" for="ch" forName="rightArrowText" refType="w" refFor="ch" refForName="ribbon" fact="0.89"/>
    </dgm:constrLst>
    <dgm:ruleLst/>
    <dgm:choose name="Name0">
      <dgm:if name="Name1" axis="ch" ptType="node" func="cnt" op="gte" val="1">
        <dgm:layoutNode name="ribbon" styleLbl="node1">
          <dgm:alg type="sp"/>
          <dgm:shape xmlns:r="http://schemas.openxmlformats.org/officeDocument/2006/relationships" type="leftRightRibbon" r:blip="">
            <dgm:adjLst/>
          </dgm:shape>
          <dgm:presOf/>
          <dgm:constrLst/>
          <dgm:ruleLst/>
        </dgm:layoutNode>
        <dgm:layoutNode name="leftArrowText" styleLbl="node1">
          <dgm:varLst>
            <dgm:chMax val="0"/>
            <dgm:bulletEnabled val="1"/>
          </dgm:varLst>
          <dgm:alg type="tx">
            <dgm:param type="txAnchorVertCh" val="mid"/>
          </dgm:alg>
          <dgm:shape xmlns:r="http://schemas.openxmlformats.org/officeDocument/2006/relationships" type="rect" r:blip="" hideGeom="1">
            <dgm:adjLst/>
          </dgm:shape>
          <dgm:choose name="Name2">
            <dgm:if name="Name3" func="var" arg="dir" op="equ" val="norm">
              <dgm:presOf axis="ch desOrSelf" ptType="node node" st="1 1" cnt="1 0"/>
            </dgm:if>
            <dgm:else name="Name4">
              <dgm:presOf axis="ch desOrSelf" ptType="node node" st="2 1" cnt="1 0"/>
            </dgm:else>
          </dgm:choose>
          <dgm:constrLst>
            <dgm:constr type="primFontSz" val="65"/>
            <dgm:constr type="tMarg" refType="primFontSz" fact="0.28"/>
            <dgm:constr type="lMarg"/>
            <dgm:constr type="bMarg" refType="primFontSz" fact="0.3"/>
            <dgm:constr type="rMarg"/>
          </dgm:constrLst>
          <dgm:ruleLst>
            <dgm:rule type="primFontSz" val="5" fact="NaN" max="NaN"/>
          </dgm:ruleLst>
        </dgm:layoutNode>
        <dgm:layoutNode name="rightArrowText" styleLbl="node1">
          <dgm:varLst>
            <dgm:chMax val="0"/>
            <dgm:bulletEnabled val="1"/>
          </dgm:varLst>
          <dgm:alg type="tx">
            <dgm:param type="txAnchorVertCh" val="mid"/>
          </dgm:alg>
          <dgm:shape xmlns:r="http://schemas.openxmlformats.org/officeDocument/2006/relationships" type="rect" r:blip="" hideGeom="1">
            <dgm:adjLst/>
          </dgm:shape>
          <dgm:choose name="Name5">
            <dgm:if name="Name6" func="var" arg="dir" op="equ" val="norm">
              <dgm:presOf axis="ch desOrSelf" ptType="node node" st="2 1" cnt="1 0"/>
            </dgm:if>
            <dgm:else name="Name7">
              <dgm:presOf axis="ch desOrSelf" ptType="node node" st="1 1" cnt="1 0"/>
            </dgm:else>
          </dgm:choose>
          <dgm:constrLst>
            <dgm:constr type="primFontSz" val="65"/>
            <dgm:constr type="tMarg" refType="primFontSz" fact="0.28"/>
            <dgm:constr type="lMarg"/>
            <dgm:constr type="bMarg" refType="primFontSz" fact="0.3"/>
            <dgm:constr type="rMarg"/>
          </dgm:constrLst>
          <dgm:ruleLst>
            <dgm:rule type="primFontSz" val="5" fact="NaN" max="NaN"/>
          </dgm:ruleLst>
        </dgm:layoutNode>
      </dgm:if>
      <dgm:else name="Name8"/>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11.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12.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13.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14.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15.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hyperlink" Target="#INDICE!A1"/><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2.xml.rels><?xml version="1.0" encoding="UTF-8" standalone="yes"?>
<Relationships xmlns="http://schemas.openxmlformats.org/package/2006/relationships"><Relationship Id="rId8" Type="http://schemas.openxmlformats.org/officeDocument/2006/relationships/hyperlink" Target="#'Empresas Regular Internacional'!A1"/><Relationship Id="rId13" Type="http://schemas.openxmlformats.org/officeDocument/2006/relationships/hyperlink" Target="#'Empresas de Handling'!A1"/><Relationship Id="rId3" Type="http://schemas.openxmlformats.org/officeDocument/2006/relationships/hyperlink" Target="#'1- Pasajeros Nal-Internal'!A1"/><Relationship Id="rId7" Type="http://schemas.openxmlformats.org/officeDocument/2006/relationships/hyperlink" Target="#'Empresas Carga Nacional'!A1"/><Relationship Id="rId12" Type="http://schemas.openxmlformats.org/officeDocument/2006/relationships/hyperlink" Target="#'Empresas de Talleres'!A1"/><Relationship Id="rId17" Type="http://schemas.openxmlformats.org/officeDocument/2006/relationships/hyperlink" Target="#'Instructivo y Glosario'!A1"/><Relationship Id="rId2" Type="http://schemas.openxmlformats.org/officeDocument/2006/relationships/image" Target="../media/image4.png"/><Relationship Id="rId16" Type="http://schemas.openxmlformats.org/officeDocument/2006/relationships/hyperlink" Target="#'Boletin Financiero'!A1"/><Relationship Id="rId1" Type="http://schemas.openxmlformats.org/officeDocument/2006/relationships/image" Target="../media/image2.png"/><Relationship Id="rId6" Type="http://schemas.openxmlformats.org/officeDocument/2006/relationships/hyperlink" Target="#'Empresas Regulares Nacionales'!A1"/><Relationship Id="rId11" Type="http://schemas.openxmlformats.org/officeDocument/2006/relationships/hyperlink" Target="#'Empresas Trab. Aer. Especiales'!A1"/><Relationship Id="rId5" Type="http://schemas.openxmlformats.org/officeDocument/2006/relationships/hyperlink" Target="#'4-Carga Regular y No Regular'!A1"/><Relationship Id="rId15" Type="http://schemas.openxmlformats.org/officeDocument/2006/relationships/hyperlink" Target="#'Empresas Centros de Instrucci&#243;n'!A1"/><Relationship Id="rId10" Type="http://schemas.openxmlformats.org/officeDocument/2006/relationships/hyperlink" Target="#'Empresas de Aerotaxis'!A1"/><Relationship Id="rId4" Type="http://schemas.openxmlformats.org/officeDocument/2006/relationships/hyperlink" Target="#'2- Carga Na-Internal'!A1"/><Relationship Id="rId9" Type="http://schemas.openxmlformats.org/officeDocument/2006/relationships/hyperlink" Target="#'Empresas Carga Internacional'!A1"/><Relationship Id="rId14" Type="http://schemas.openxmlformats.org/officeDocument/2006/relationships/hyperlink" Target="#'Empresas Especiales de Carga'!A1"/></Relationships>
</file>

<file path=xl/drawings/_rels/drawing3.xml.rels><?xml version="1.0" encoding="UTF-8" standalone="yes"?>
<Relationships xmlns="http://schemas.openxmlformats.org/package/2006/relationships"><Relationship Id="rId3" Type="http://schemas.openxmlformats.org/officeDocument/2006/relationships/hyperlink" Target="#'Menu Principal'!A1"/><Relationship Id="rId2" Type="http://schemas.openxmlformats.org/officeDocument/2006/relationships/image" Target="../media/image3.jp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6.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7.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8.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9.xml.rels><?xml version="1.0" encoding="UTF-8" standalone="yes"?>
<Relationships xmlns="http://schemas.openxmlformats.org/package/2006/relationships"><Relationship Id="rId1" Type="http://schemas.openxmlformats.org/officeDocument/2006/relationships/hyperlink" Target="#'Menu Principal'!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18143</xdr:rowOff>
    </xdr:from>
    <xdr:to>
      <xdr:col>1</xdr:col>
      <xdr:colOff>0</xdr:colOff>
      <xdr:row>37</xdr:row>
      <xdr:rowOff>0</xdr:rowOff>
    </xdr:to>
    <xdr:pic>
      <xdr:nvPicPr>
        <xdr:cNvPr id="8" name="Imagen 7">
          <a:extLst>
            <a:ext uri="{FF2B5EF4-FFF2-40B4-BE49-F238E27FC236}">
              <a16:creationId xmlns:a16="http://schemas.microsoft.com/office/drawing/2014/main" id="{A213ED40-C2F0-DF05-F61D-4200FCD28E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334325"/>
          <a:ext cx="7559386" cy="4753016"/>
        </a:xfrm>
        <a:prstGeom prst="rect">
          <a:avLst/>
        </a:prstGeom>
      </xdr:spPr>
    </xdr:pic>
    <xdr:clientData/>
  </xdr:twoCellAnchor>
  <xdr:twoCellAnchor editAs="oneCell">
    <xdr:from>
      <xdr:col>1</xdr:col>
      <xdr:colOff>0</xdr:colOff>
      <xdr:row>37</xdr:row>
      <xdr:rowOff>0</xdr:rowOff>
    </xdr:from>
    <xdr:to>
      <xdr:col>16384</xdr:col>
      <xdr:colOff>762819</xdr:colOff>
      <xdr:row>37</xdr:row>
      <xdr:rowOff>0</xdr:rowOff>
    </xdr:to>
    <xdr:pic>
      <xdr:nvPicPr>
        <xdr:cNvPr id="3" name="Imagen 2">
          <a:extLst>
            <a:ext uri="{FF2B5EF4-FFF2-40B4-BE49-F238E27FC236}">
              <a16:creationId xmlns:a16="http://schemas.microsoft.com/office/drawing/2014/main" id="{491BE55E-97B0-4283-8FF9-B4129EBDA5DB}"/>
            </a:ext>
          </a:extLst>
        </xdr:cNvPr>
        <xdr:cNvPicPr>
          <a:picLocks noChangeAspect="1"/>
        </xdr:cNvPicPr>
      </xdr:nvPicPr>
      <xdr:blipFill>
        <a:blip xmlns:r="http://schemas.openxmlformats.org/officeDocument/2006/relationships" r:embed="rId2"/>
        <a:stretch>
          <a:fillRect/>
        </a:stretch>
      </xdr:blipFill>
      <xdr:spPr>
        <a:xfrm>
          <a:off x="7924800" y="5873750"/>
          <a:ext cx="762819" cy="0"/>
        </a:xfrm>
        <a:prstGeom prst="rect">
          <a:avLst/>
        </a:prstGeom>
      </xdr:spPr>
    </xdr:pic>
    <xdr:clientData/>
  </xdr:twoCellAnchor>
  <xdr:twoCellAnchor>
    <xdr:from>
      <xdr:col>0</xdr:col>
      <xdr:colOff>0</xdr:colOff>
      <xdr:row>6</xdr:row>
      <xdr:rowOff>159876</xdr:rowOff>
    </xdr:from>
    <xdr:to>
      <xdr:col>0</xdr:col>
      <xdr:colOff>7761514</xdr:colOff>
      <xdr:row>21</xdr:row>
      <xdr:rowOff>39172</xdr:rowOff>
    </xdr:to>
    <xdr:sp macro="" textlink="">
      <xdr:nvSpPr>
        <xdr:cNvPr id="4" name="CuadroTexto 3">
          <a:extLst>
            <a:ext uri="{FF2B5EF4-FFF2-40B4-BE49-F238E27FC236}">
              <a16:creationId xmlns:a16="http://schemas.microsoft.com/office/drawing/2014/main" id="{41225B42-2837-4D21-B004-32DFD36A2561}"/>
            </a:ext>
          </a:extLst>
        </xdr:cNvPr>
        <xdr:cNvSpPr txBox="1"/>
      </xdr:nvSpPr>
      <xdr:spPr>
        <a:xfrm>
          <a:off x="0" y="1139590"/>
          <a:ext cx="7761514" cy="2328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2800" b="1">
              <a:solidFill>
                <a:schemeClr val="bg1"/>
              </a:solidFill>
              <a:latin typeface="HELVETICA" panose="020B0604020202020204" pitchFamily="34" charset="0"/>
              <a:cs typeface="HELVETICA" panose="020B0604020202020204" pitchFamily="34" charset="0"/>
            </a:rPr>
            <a:t>BOLETIN</a:t>
          </a:r>
        </a:p>
        <a:p>
          <a:pPr algn="r"/>
          <a:r>
            <a:rPr lang="es-CO" sz="2800" b="1">
              <a:solidFill>
                <a:schemeClr val="bg1"/>
              </a:solidFill>
              <a:latin typeface="HELVETICA" panose="020B0604020202020204" pitchFamily="34" charset="0"/>
              <a:cs typeface="HELVETICA" panose="020B0604020202020204" pitchFamily="34" charset="0"/>
            </a:rPr>
            <a:t>FINANCIERO</a:t>
          </a:r>
          <a:r>
            <a:rPr lang="es-CO" sz="2800" b="1" baseline="0">
              <a:solidFill>
                <a:schemeClr val="bg1"/>
              </a:solidFill>
              <a:latin typeface="HELVETICA" panose="020B0604020202020204" pitchFamily="34" charset="0"/>
              <a:cs typeface="HELVETICA" panose="020B0604020202020204" pitchFamily="34" charset="0"/>
            </a:rPr>
            <a:t> SECTOR AERONÁUTICO 2024 - Semestre 1</a:t>
          </a:r>
          <a:endParaRPr lang="es-CO" sz="2800" b="1">
            <a:solidFill>
              <a:schemeClr val="bg1"/>
            </a:solidFill>
            <a:latin typeface="HELVETICA" panose="020B0604020202020204" pitchFamily="34" charset="0"/>
            <a:cs typeface="HELVETICA" panose="020B0604020202020204" pitchFamily="34" charset="0"/>
          </a:endParaRPr>
        </a:p>
      </xdr:txBody>
    </xdr:sp>
    <xdr:clientData/>
  </xdr:twoCellAnchor>
  <xdr:twoCellAnchor editAs="oneCell">
    <xdr:from>
      <xdr:col>0</xdr:col>
      <xdr:colOff>1</xdr:colOff>
      <xdr:row>0</xdr:row>
      <xdr:rowOff>0</xdr:rowOff>
    </xdr:from>
    <xdr:to>
      <xdr:col>16384</xdr:col>
      <xdr:colOff>22412</xdr:colOff>
      <xdr:row>8</xdr:row>
      <xdr:rowOff>33617</xdr:rowOff>
    </xdr:to>
    <xdr:pic>
      <xdr:nvPicPr>
        <xdr:cNvPr id="5" name="Imagen 4">
          <a:extLst>
            <a:ext uri="{FF2B5EF4-FFF2-40B4-BE49-F238E27FC236}">
              <a16:creationId xmlns:a16="http://schemas.microsoft.com/office/drawing/2014/main" id="{1C457DDA-36CE-4ADF-B155-B7BCC00270C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0"/>
          <a:ext cx="7947211" cy="1303617"/>
        </a:xfrm>
        <a:prstGeom prst="rect">
          <a:avLst/>
        </a:prstGeom>
      </xdr:spPr>
    </xdr:pic>
    <xdr:clientData/>
  </xdr:twoCellAnchor>
  <xdr:twoCellAnchor>
    <xdr:from>
      <xdr:col>0</xdr:col>
      <xdr:colOff>0</xdr:colOff>
      <xdr:row>22</xdr:row>
      <xdr:rowOff>11206</xdr:rowOff>
    </xdr:from>
    <xdr:to>
      <xdr:col>0</xdr:col>
      <xdr:colOff>3609975</xdr:colOff>
      <xdr:row>37</xdr:row>
      <xdr:rowOff>0</xdr:rowOff>
    </xdr:to>
    <xdr:sp macro="" textlink="">
      <xdr:nvSpPr>
        <xdr:cNvPr id="6" name="CuadroTexto 5">
          <a:extLst>
            <a:ext uri="{FF2B5EF4-FFF2-40B4-BE49-F238E27FC236}">
              <a16:creationId xmlns:a16="http://schemas.microsoft.com/office/drawing/2014/main" id="{CBEEC54E-2F4B-404A-99D1-F45DA56EDE06}"/>
            </a:ext>
          </a:extLst>
        </xdr:cNvPr>
        <xdr:cNvSpPr txBox="1"/>
      </xdr:nvSpPr>
      <xdr:spPr>
        <a:xfrm>
          <a:off x="0" y="3573556"/>
          <a:ext cx="3609975" cy="2417669"/>
        </a:xfrm>
        <a:prstGeom prst="rect">
          <a:avLst/>
        </a:prstGeom>
        <a:solidFill>
          <a:schemeClr val="accent4">
            <a:lumMod val="75000"/>
            <a:alpha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400" b="1">
            <a:solidFill>
              <a:schemeClr val="bg1"/>
            </a:solidFill>
            <a:latin typeface="HELVETICA" panose="020B0604020202020204" pitchFamily="34" charset="0"/>
            <a:cs typeface="HELVETICA" panose="020B0604020202020204" pitchFamily="34" charset="0"/>
          </a:endParaRPr>
        </a:p>
        <a:p>
          <a:r>
            <a:rPr lang="es-CO" sz="1400" b="1">
              <a:solidFill>
                <a:schemeClr val="bg1"/>
              </a:solidFill>
              <a:latin typeface="HELVETICA" panose="020B0604020202020204" pitchFamily="34" charset="0"/>
              <a:cs typeface="HELVETICA" panose="020B0604020202020204" pitchFamily="34" charset="0"/>
            </a:rPr>
            <a:t>Aeronáutica</a:t>
          </a:r>
          <a:r>
            <a:rPr lang="es-CO" sz="1400" b="1" baseline="0">
              <a:solidFill>
                <a:schemeClr val="bg1"/>
              </a:solidFill>
              <a:latin typeface="HELVETICA" panose="020B0604020202020204" pitchFamily="34" charset="0"/>
              <a:cs typeface="HELVETICA" panose="020B0604020202020204" pitchFamily="34" charset="0"/>
            </a:rPr>
            <a:t> Civil</a:t>
          </a:r>
        </a:p>
        <a:p>
          <a:r>
            <a:rPr lang="es-CO" sz="1400" b="1" baseline="0">
              <a:solidFill>
                <a:schemeClr val="bg1"/>
              </a:solidFill>
              <a:latin typeface="HELVETICA" panose="020B0604020202020204" pitchFamily="34" charset="0"/>
              <a:cs typeface="HELVETICA" panose="020B0604020202020204" pitchFamily="34" charset="0"/>
            </a:rPr>
            <a:t>Unidad Administrativa Especial</a:t>
          </a:r>
        </a:p>
        <a:p>
          <a:endParaRPr lang="es-CO" sz="1400" b="1" baseline="0">
            <a:solidFill>
              <a:schemeClr val="bg1"/>
            </a:solidFill>
            <a:latin typeface="HELVETICA" panose="020B0604020202020204" pitchFamily="34" charset="0"/>
            <a:cs typeface="HELVETICA" panose="020B0604020202020204" pitchFamily="34" charset="0"/>
          </a:endParaRPr>
        </a:p>
        <a:p>
          <a:r>
            <a:rPr lang="es-CO" sz="1400" b="1" baseline="0">
              <a:solidFill>
                <a:schemeClr val="bg1"/>
              </a:solidFill>
              <a:latin typeface="HELVETICA" panose="020B0604020202020204" pitchFamily="34" charset="0"/>
              <a:cs typeface="HELVETICA" panose="020B0604020202020204" pitchFamily="34" charset="0"/>
            </a:rPr>
            <a:t>Dirección General</a:t>
          </a:r>
        </a:p>
        <a:p>
          <a:r>
            <a:rPr lang="es-CO" sz="1400" b="1">
              <a:solidFill>
                <a:schemeClr val="bg1"/>
              </a:solidFill>
              <a:latin typeface="HELVETICA" panose="020B0604020202020204" pitchFamily="34" charset="0"/>
              <a:cs typeface="HELVETICA" panose="020B0604020202020204" pitchFamily="34" charset="0"/>
            </a:rPr>
            <a:t>Oficina de Analítica</a:t>
          </a:r>
        </a:p>
        <a:p>
          <a:r>
            <a:rPr lang="es-CO" sz="1400" b="1">
              <a:solidFill>
                <a:schemeClr val="bg1"/>
              </a:solidFill>
              <a:latin typeface="HELVETICA" panose="020B0604020202020204" pitchFamily="34" charset="0"/>
              <a:cs typeface="HELVETICA" panose="020B0604020202020204" pitchFamily="34" charset="0"/>
            </a:rPr>
            <a:t>Grupo Estadisticas y Análisis Sectorial </a:t>
          </a:r>
        </a:p>
        <a:p>
          <a:endParaRPr lang="es-CO" sz="1400" b="1">
            <a:solidFill>
              <a:schemeClr val="bg1"/>
            </a:solidFill>
            <a:latin typeface="HELVETICA" panose="020B0604020202020204" pitchFamily="34" charset="0"/>
            <a:cs typeface="HELVETICA" panose="020B0604020202020204" pitchFamily="34" charset="0"/>
          </a:endParaRPr>
        </a:p>
        <a:p>
          <a:endParaRPr lang="es-CO" sz="1400" b="1">
            <a:solidFill>
              <a:schemeClr val="bg1"/>
            </a:solidFill>
            <a:latin typeface="HELVETICA" panose="020B0604020202020204" pitchFamily="34" charset="0"/>
            <a:cs typeface="HELVETICA" panose="020B0604020202020204" pitchFamily="34" charset="0"/>
          </a:endParaRPr>
        </a:p>
        <a:p>
          <a:r>
            <a:rPr lang="es-CO" sz="1400" b="1">
              <a:solidFill>
                <a:schemeClr val="bg1"/>
              </a:solidFill>
              <a:latin typeface="HELVETICA" panose="020B0604020202020204" pitchFamily="34" charset="0"/>
              <a:cs typeface="HELVETICA" panose="020B0604020202020204" pitchFamily="34" charset="0"/>
            </a:rPr>
            <a:t>Boletin - Septiembre 2024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739589</xdr:colOff>
      <xdr:row>0</xdr:row>
      <xdr:rowOff>11206</xdr:rowOff>
    </xdr:from>
    <xdr:to>
      <xdr:col>0</xdr:col>
      <xdr:colOff>2517591</xdr:colOff>
      <xdr:row>1</xdr:row>
      <xdr:rowOff>74535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AFAF8EE1-A390-49C3-B1B3-1EF9FFC40412}"/>
            </a:ext>
          </a:extLst>
        </xdr:cNvPr>
        <xdr:cNvSpPr/>
      </xdr:nvSpPr>
      <xdr:spPr>
        <a:xfrm>
          <a:off x="739589" y="11206"/>
          <a:ext cx="1778002" cy="287447"/>
        </a:xfrm>
        <a:prstGeom prst="roundRect">
          <a:avLst/>
        </a:prstGeom>
        <a:solidFill>
          <a:schemeClr val="accent4">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effectLst/>
              <a:latin typeface="HELVETICA" panose="020B0604020202020204" pitchFamily="34" charset="0"/>
              <a:ea typeface="+mn-ea"/>
              <a:cs typeface="HELVETICA" panose="020B0604020202020204" pitchFamily="34" charset="0"/>
            </a:rPr>
            <a:t>Menú Principal</a:t>
          </a:r>
          <a:endParaRPr lang="es-CO" sz="12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705971</xdr:colOff>
      <xdr:row>0</xdr:row>
      <xdr:rowOff>44824</xdr:rowOff>
    </xdr:from>
    <xdr:to>
      <xdr:col>0</xdr:col>
      <xdr:colOff>2483973</xdr:colOff>
      <xdr:row>1</xdr:row>
      <xdr:rowOff>108153</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8F6EB25F-15D5-4276-AC3E-63E9AD629530}"/>
            </a:ext>
          </a:extLst>
        </xdr:cNvPr>
        <xdr:cNvSpPr/>
      </xdr:nvSpPr>
      <xdr:spPr>
        <a:xfrm>
          <a:off x="705971" y="44824"/>
          <a:ext cx="1778002" cy="287447"/>
        </a:xfrm>
        <a:prstGeom prst="roundRect">
          <a:avLst/>
        </a:prstGeom>
        <a:solidFill>
          <a:schemeClr val="accent4">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effectLst/>
              <a:latin typeface="HELVETICA" panose="020B0604020202020204" pitchFamily="34" charset="0"/>
              <a:ea typeface="+mn-ea"/>
              <a:cs typeface="HELVETICA" panose="020B0604020202020204" pitchFamily="34" charset="0"/>
            </a:rPr>
            <a:t>Menú Principal</a:t>
          </a:r>
          <a:endParaRPr lang="es-CO" sz="12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748392</xdr:colOff>
      <xdr:row>0</xdr:row>
      <xdr:rowOff>54428</xdr:rowOff>
    </xdr:from>
    <xdr:to>
      <xdr:col>0</xdr:col>
      <xdr:colOff>2526394</xdr:colOff>
      <xdr:row>1</xdr:row>
      <xdr:rowOff>110554</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BFD45489-1950-4BD8-8FB3-8B5D93E3ED4A}"/>
            </a:ext>
          </a:extLst>
        </xdr:cNvPr>
        <xdr:cNvSpPr/>
      </xdr:nvSpPr>
      <xdr:spPr>
        <a:xfrm>
          <a:off x="748392" y="54428"/>
          <a:ext cx="1778002" cy="287447"/>
        </a:xfrm>
        <a:prstGeom prst="roundRect">
          <a:avLst/>
        </a:prstGeom>
        <a:solidFill>
          <a:schemeClr val="accent4">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effectLst/>
              <a:latin typeface="HELVETICA" panose="020B0604020202020204" pitchFamily="34" charset="0"/>
              <a:ea typeface="+mn-ea"/>
              <a:cs typeface="HELVETICA" panose="020B0604020202020204" pitchFamily="34" charset="0"/>
            </a:rPr>
            <a:t>Menú Principal</a:t>
          </a:r>
          <a:endParaRPr lang="es-CO" sz="12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666750</xdr:colOff>
      <xdr:row>0</xdr:row>
      <xdr:rowOff>54429</xdr:rowOff>
    </xdr:from>
    <xdr:to>
      <xdr:col>0</xdr:col>
      <xdr:colOff>2444752</xdr:colOff>
      <xdr:row>1</xdr:row>
      <xdr:rowOff>110555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CE935B5E-9390-488B-88AB-E4F5090819E9}"/>
            </a:ext>
          </a:extLst>
        </xdr:cNvPr>
        <xdr:cNvSpPr/>
      </xdr:nvSpPr>
      <xdr:spPr>
        <a:xfrm>
          <a:off x="666750" y="54429"/>
          <a:ext cx="1778002" cy="287447"/>
        </a:xfrm>
        <a:prstGeom prst="roundRect">
          <a:avLst/>
        </a:prstGeom>
        <a:solidFill>
          <a:schemeClr val="accent4">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effectLst/>
              <a:latin typeface="HELVETICA" panose="020B0604020202020204" pitchFamily="34" charset="0"/>
              <a:ea typeface="+mn-ea"/>
              <a:cs typeface="HELVETICA" panose="020B0604020202020204" pitchFamily="34" charset="0"/>
            </a:rPr>
            <a:t>Menú Principal</a:t>
          </a:r>
          <a:endParaRPr lang="es-CO" sz="12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730684</xdr:colOff>
      <xdr:row>0</xdr:row>
      <xdr:rowOff>26097</xdr:rowOff>
    </xdr:from>
    <xdr:to>
      <xdr:col>0</xdr:col>
      <xdr:colOff>2508686</xdr:colOff>
      <xdr:row>1</xdr:row>
      <xdr:rowOff>78681</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A141AFFF-7BFA-41D9-9E6A-2D3AEE0568E4}"/>
            </a:ext>
          </a:extLst>
        </xdr:cNvPr>
        <xdr:cNvSpPr/>
      </xdr:nvSpPr>
      <xdr:spPr>
        <a:xfrm>
          <a:off x="730684" y="26097"/>
          <a:ext cx="1778002" cy="287447"/>
        </a:xfrm>
        <a:prstGeom prst="roundRect">
          <a:avLst/>
        </a:prstGeom>
        <a:solidFill>
          <a:schemeClr val="accent4">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effectLst/>
              <a:latin typeface="HELVETICA" panose="020B0604020202020204" pitchFamily="34" charset="0"/>
              <a:ea typeface="+mn-ea"/>
              <a:cs typeface="HELVETICA" panose="020B0604020202020204" pitchFamily="34" charset="0"/>
            </a:rPr>
            <a:t>Menú Principal</a:t>
          </a:r>
          <a:endParaRPr lang="es-CO" sz="12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149225</xdr:colOff>
      <xdr:row>1</xdr:row>
      <xdr:rowOff>268605</xdr:rowOff>
    </xdr:from>
    <xdr:to>
      <xdr:col>16</xdr:col>
      <xdr:colOff>596859</xdr:colOff>
      <xdr:row>5</xdr:row>
      <xdr:rowOff>90464</xdr:rowOff>
    </xdr:to>
    <xdr:graphicFrame macro="">
      <xdr:nvGraphicFramePr>
        <xdr:cNvPr id="5" name="Diagrama 4">
          <a:hlinkClick xmlns:r="http://schemas.openxmlformats.org/officeDocument/2006/relationships" r:id="rId1"/>
          <a:extLst>
            <a:ext uri="{FF2B5EF4-FFF2-40B4-BE49-F238E27FC236}">
              <a16:creationId xmlns:a16="http://schemas.microsoft.com/office/drawing/2014/main" id="{03C4B36E-6A06-15D9-6A70-5F2A19FA0CC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50</xdr:row>
      <xdr:rowOff>0</xdr:rowOff>
    </xdr:from>
    <xdr:to>
      <xdr:col>16384</xdr:col>
      <xdr:colOff>761614</xdr:colOff>
      <xdr:row>51</xdr:row>
      <xdr:rowOff>0</xdr:rowOff>
    </xdr:to>
    <xdr:pic>
      <xdr:nvPicPr>
        <xdr:cNvPr id="2" name="Imagen 1">
          <a:extLst>
            <a:ext uri="{FF2B5EF4-FFF2-40B4-BE49-F238E27FC236}">
              <a16:creationId xmlns:a16="http://schemas.microsoft.com/office/drawing/2014/main" id="{DDC20B06-6AEE-47A8-B6B8-32608C60F99F}"/>
            </a:ext>
          </a:extLst>
        </xdr:cNvPr>
        <xdr:cNvPicPr>
          <a:picLocks noChangeAspect="1"/>
        </xdr:cNvPicPr>
      </xdr:nvPicPr>
      <xdr:blipFill>
        <a:blip xmlns:r="http://schemas.openxmlformats.org/officeDocument/2006/relationships" r:embed="rId1"/>
        <a:stretch>
          <a:fillRect/>
        </a:stretch>
      </xdr:blipFill>
      <xdr:spPr>
        <a:xfrm>
          <a:off x="13455650" y="6826250"/>
          <a:ext cx="1560807" cy="0"/>
        </a:xfrm>
        <a:prstGeom prst="rect">
          <a:avLst/>
        </a:prstGeom>
      </xdr:spPr>
    </xdr:pic>
    <xdr:clientData/>
  </xdr:twoCellAnchor>
  <xdr:twoCellAnchor editAs="oneCell">
    <xdr:from>
      <xdr:col>0</xdr:col>
      <xdr:colOff>36284</xdr:colOff>
      <xdr:row>0</xdr:row>
      <xdr:rowOff>0</xdr:rowOff>
    </xdr:from>
    <xdr:to>
      <xdr:col>2</xdr:col>
      <xdr:colOff>535212</xdr:colOff>
      <xdr:row>14</xdr:row>
      <xdr:rowOff>18143</xdr:rowOff>
    </xdr:to>
    <xdr:pic>
      <xdr:nvPicPr>
        <xdr:cNvPr id="3" name="Imagen 2">
          <a:extLst>
            <a:ext uri="{FF2B5EF4-FFF2-40B4-BE49-F238E27FC236}">
              <a16:creationId xmlns:a16="http://schemas.microsoft.com/office/drawing/2014/main" id="{6C76BFBE-7261-4FD1-B6C5-3C6A493E7726}"/>
            </a:ext>
          </a:extLst>
        </xdr:cNvPr>
        <xdr:cNvPicPr>
          <a:picLocks noChangeAspect="1"/>
        </xdr:cNvPicPr>
      </xdr:nvPicPr>
      <xdr:blipFill>
        <a:blip xmlns:r="http://schemas.openxmlformats.org/officeDocument/2006/relationships" r:embed="rId2"/>
        <a:stretch>
          <a:fillRect/>
        </a:stretch>
      </xdr:blipFill>
      <xdr:spPr>
        <a:xfrm>
          <a:off x="36284" y="0"/>
          <a:ext cx="13425714" cy="2304143"/>
        </a:xfrm>
        <a:prstGeom prst="rect">
          <a:avLst/>
        </a:prstGeom>
      </xdr:spPr>
    </xdr:pic>
    <xdr:clientData/>
  </xdr:twoCellAnchor>
  <xdr:twoCellAnchor>
    <xdr:from>
      <xdr:col>0</xdr:col>
      <xdr:colOff>171450</xdr:colOff>
      <xdr:row>15</xdr:row>
      <xdr:rowOff>47625</xdr:rowOff>
    </xdr:from>
    <xdr:to>
      <xdr:col>0</xdr:col>
      <xdr:colOff>3219450</xdr:colOff>
      <xdr:row>24</xdr:row>
      <xdr:rowOff>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A7E1AD1F-7443-4D37-9B3D-C3B0730324CF}"/>
            </a:ext>
          </a:extLst>
        </xdr:cNvPr>
        <xdr:cNvSpPr/>
      </xdr:nvSpPr>
      <xdr:spPr>
        <a:xfrm>
          <a:off x="171450" y="2746375"/>
          <a:ext cx="3048000" cy="1381125"/>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mn-lt"/>
              <a:ea typeface="+mn-ea"/>
              <a:cs typeface="+mn-cs"/>
            </a:rPr>
            <a:t>01 </a:t>
          </a:r>
          <a:endParaRPr lang="es-CO" sz="4400">
            <a:effectLst/>
          </a:endParaRPr>
        </a:p>
        <a:p>
          <a:pPr algn="ctr"/>
          <a:r>
            <a:rPr lang="es-CO" sz="1600" b="1">
              <a:solidFill>
                <a:schemeClr val="dk1"/>
              </a:solidFill>
              <a:effectLst/>
              <a:latin typeface="+mn-lt"/>
              <a:ea typeface="+mn-ea"/>
              <a:cs typeface="+mn-cs"/>
            </a:rPr>
            <a:t>Pasajeros Nacionales e Internacionales</a:t>
          </a:r>
          <a:endParaRPr lang="es-CO" sz="1600">
            <a:effectLst/>
          </a:endParaRPr>
        </a:p>
        <a:p>
          <a:pPr algn="l"/>
          <a:endParaRPr lang="es-CO" sz="1100"/>
        </a:p>
      </xdr:txBody>
    </xdr:sp>
    <xdr:clientData/>
  </xdr:twoCellAnchor>
  <xdr:twoCellAnchor>
    <xdr:from>
      <xdr:col>0</xdr:col>
      <xdr:colOff>3533775</xdr:colOff>
      <xdr:row>15</xdr:row>
      <xdr:rowOff>47625</xdr:rowOff>
    </xdr:from>
    <xdr:to>
      <xdr:col>0</xdr:col>
      <xdr:colOff>6581775</xdr:colOff>
      <xdr:row>24</xdr:row>
      <xdr:rowOff>0</xdr:rowOff>
    </xdr:to>
    <xdr:sp macro="" textlink="">
      <xdr:nvSpPr>
        <xdr:cNvPr id="5" name="Rectángulo: esquinas redondeadas 4">
          <a:hlinkClick xmlns:r="http://schemas.openxmlformats.org/officeDocument/2006/relationships" r:id="rId4"/>
          <a:extLst>
            <a:ext uri="{FF2B5EF4-FFF2-40B4-BE49-F238E27FC236}">
              <a16:creationId xmlns:a16="http://schemas.microsoft.com/office/drawing/2014/main" id="{1E14D2C0-D103-45B4-9653-39C1AD781369}"/>
            </a:ext>
          </a:extLst>
        </xdr:cNvPr>
        <xdr:cNvSpPr/>
      </xdr:nvSpPr>
      <xdr:spPr>
        <a:xfrm>
          <a:off x="3533775" y="2746375"/>
          <a:ext cx="3048000" cy="1381125"/>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mn-lt"/>
              <a:ea typeface="+mn-ea"/>
              <a:cs typeface="+mn-cs"/>
            </a:rPr>
            <a:t>02 </a:t>
          </a:r>
          <a:endParaRPr lang="es-CO" sz="4400">
            <a:effectLst/>
          </a:endParaRPr>
        </a:p>
        <a:p>
          <a:pPr algn="ctr"/>
          <a:r>
            <a:rPr lang="es-CO" sz="1600" b="1">
              <a:solidFill>
                <a:schemeClr val="dk1"/>
              </a:solidFill>
              <a:effectLst/>
              <a:latin typeface="+mn-lt"/>
              <a:ea typeface="+mn-ea"/>
              <a:cs typeface="+mn-cs"/>
            </a:rPr>
            <a:t>Carga Nacional e Internacional</a:t>
          </a:r>
          <a:endParaRPr lang="es-CO" sz="1600">
            <a:effectLst/>
          </a:endParaRPr>
        </a:p>
        <a:p>
          <a:pPr algn="l"/>
          <a:endParaRPr lang="es-CO" sz="1100"/>
        </a:p>
      </xdr:txBody>
    </xdr:sp>
    <xdr:clientData/>
  </xdr:twoCellAnchor>
  <xdr:twoCellAnchor>
    <xdr:from>
      <xdr:col>0</xdr:col>
      <xdr:colOff>10287000</xdr:colOff>
      <xdr:row>15</xdr:row>
      <xdr:rowOff>19050</xdr:rowOff>
    </xdr:from>
    <xdr:to>
      <xdr:col>2</xdr:col>
      <xdr:colOff>495300</xdr:colOff>
      <xdr:row>23</xdr:row>
      <xdr:rowOff>133350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CACE9227-B667-4F01-81AA-10FB69EA851C}"/>
            </a:ext>
          </a:extLst>
        </xdr:cNvPr>
        <xdr:cNvSpPr/>
      </xdr:nvSpPr>
      <xdr:spPr>
        <a:xfrm>
          <a:off x="10287000" y="2717800"/>
          <a:ext cx="3663950" cy="1384300"/>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mn-lt"/>
              <a:ea typeface="+mn-ea"/>
              <a:cs typeface="+mn-cs"/>
            </a:rPr>
            <a:t>04 </a:t>
          </a:r>
          <a:endParaRPr lang="es-CO" sz="4400">
            <a:effectLst/>
          </a:endParaRPr>
        </a:p>
        <a:p>
          <a:pPr algn="ctr"/>
          <a:r>
            <a:rPr lang="es-CO" sz="1600" b="1">
              <a:solidFill>
                <a:schemeClr val="dk1"/>
              </a:solidFill>
              <a:effectLst/>
              <a:latin typeface="+mn-lt"/>
              <a:ea typeface="+mn-ea"/>
              <a:cs typeface="+mn-cs"/>
            </a:rPr>
            <a:t>Carga Regular y No Regular</a:t>
          </a:r>
          <a:endParaRPr lang="es-CO" sz="1600">
            <a:effectLst/>
          </a:endParaRPr>
        </a:p>
        <a:p>
          <a:pPr algn="l"/>
          <a:endParaRPr lang="es-CO" sz="1100"/>
        </a:p>
      </xdr:txBody>
    </xdr:sp>
    <xdr:clientData/>
  </xdr:twoCellAnchor>
  <xdr:twoCellAnchor>
    <xdr:from>
      <xdr:col>0</xdr:col>
      <xdr:colOff>142875</xdr:colOff>
      <xdr:row>15</xdr:row>
      <xdr:rowOff>28575</xdr:rowOff>
    </xdr:from>
    <xdr:to>
      <xdr:col>0</xdr:col>
      <xdr:colOff>3190875</xdr:colOff>
      <xdr:row>23</xdr:row>
      <xdr:rowOff>142875</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5954E0D8-8F1C-4F04-AD7C-399879F9F662}"/>
            </a:ext>
          </a:extLst>
        </xdr:cNvPr>
        <xdr:cNvSpPr/>
      </xdr:nvSpPr>
      <xdr:spPr>
        <a:xfrm>
          <a:off x="142875" y="2727325"/>
          <a:ext cx="3048000" cy="13843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HELVETICA" panose="020B0604020202020204" pitchFamily="34" charset="0"/>
              <a:ea typeface="+mn-ea"/>
              <a:cs typeface="HELVETICA" panose="020B0604020202020204" pitchFamily="34" charset="0"/>
            </a:rPr>
            <a:t>01 </a:t>
          </a:r>
          <a:endParaRPr lang="es-CO" sz="4400">
            <a:effectLst/>
            <a:latin typeface="HELVETICA" panose="020B0604020202020204" pitchFamily="34" charset="0"/>
            <a:cs typeface="HELVETICA" panose="020B0604020202020204" pitchFamily="34" charset="0"/>
          </a:endParaRPr>
        </a:p>
        <a:p>
          <a:pPr algn="ctr"/>
          <a:r>
            <a:rPr lang="es-CO" sz="1500" b="1">
              <a:solidFill>
                <a:schemeClr val="dk1"/>
              </a:solidFill>
              <a:effectLst/>
              <a:latin typeface="HELVETICA" panose="020B0604020202020204" pitchFamily="34" charset="0"/>
              <a:ea typeface="+mn-ea"/>
              <a:cs typeface="HELVETICA" panose="020B0604020202020204" pitchFamily="34" charset="0"/>
            </a:rPr>
            <a:t>Empresas</a:t>
          </a:r>
          <a:r>
            <a:rPr lang="es-CO" sz="1500" b="1" baseline="0">
              <a:solidFill>
                <a:schemeClr val="dk1"/>
              </a:solidFill>
              <a:effectLst/>
              <a:latin typeface="HELVETICA" panose="020B0604020202020204" pitchFamily="34" charset="0"/>
              <a:ea typeface="+mn-ea"/>
              <a:cs typeface="HELVETICA" panose="020B0604020202020204" pitchFamily="34" charset="0"/>
            </a:rPr>
            <a:t> Regulares Nacionales</a:t>
          </a:r>
          <a:endParaRPr lang="es-CO" sz="1500">
            <a:effectLst/>
            <a:latin typeface="HELVETICA" panose="020B0604020202020204" pitchFamily="34" charset="0"/>
            <a:cs typeface="HELVETICA" panose="020B0604020202020204" pitchFamily="34" charset="0"/>
          </a:endParaRPr>
        </a:p>
        <a:p>
          <a:pPr algn="l"/>
          <a:endParaRPr lang="es-CO" sz="1100">
            <a:latin typeface="HELVETICA" panose="020B0604020202020204" pitchFamily="34" charset="0"/>
            <a:cs typeface="HELVETICA" panose="020B0604020202020204" pitchFamily="34" charset="0"/>
          </a:endParaRPr>
        </a:p>
      </xdr:txBody>
    </xdr:sp>
    <xdr:clientData/>
  </xdr:twoCellAnchor>
  <xdr:twoCellAnchor>
    <xdr:from>
      <xdr:col>0</xdr:col>
      <xdr:colOff>3505200</xdr:colOff>
      <xdr:row>15</xdr:row>
      <xdr:rowOff>28575</xdr:rowOff>
    </xdr:from>
    <xdr:to>
      <xdr:col>0</xdr:col>
      <xdr:colOff>6553200</xdr:colOff>
      <xdr:row>23</xdr:row>
      <xdr:rowOff>142875</xdr:rowOff>
    </xdr:to>
    <xdr:sp macro="" textlink="">
      <xdr:nvSpPr>
        <xdr:cNvPr id="9" name="Rectángulo: esquinas redondeadas 8">
          <a:hlinkClick xmlns:r="http://schemas.openxmlformats.org/officeDocument/2006/relationships" r:id="rId7"/>
          <a:extLst>
            <a:ext uri="{FF2B5EF4-FFF2-40B4-BE49-F238E27FC236}">
              <a16:creationId xmlns:a16="http://schemas.microsoft.com/office/drawing/2014/main" id="{83EE53BA-42B2-44F1-9F16-B05FF2A6841B}"/>
            </a:ext>
          </a:extLst>
        </xdr:cNvPr>
        <xdr:cNvSpPr/>
      </xdr:nvSpPr>
      <xdr:spPr>
        <a:xfrm>
          <a:off x="3505200" y="2727325"/>
          <a:ext cx="3048000" cy="13843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02 </a:t>
          </a:r>
        </a:p>
        <a:p>
          <a:pPr marL="0" marR="0" lvl="0" indent="0" algn="ctr" defTabSz="914400" eaLnBrk="1" fontAlgn="auto" latinLnBrk="0" hangingPunct="1">
            <a:lnSpc>
              <a:spcPct val="100000"/>
            </a:lnSpc>
            <a:spcBef>
              <a:spcPts val="0"/>
            </a:spcBef>
            <a:spcAft>
              <a:spcPts val="0"/>
            </a:spcAft>
            <a:buClrTx/>
            <a:buSzTx/>
            <a:buFontTx/>
            <a:buNone/>
            <a:tabLst/>
            <a:defRPr/>
          </a:pPr>
          <a:r>
            <a:rPr lang="es-CO" sz="1500" b="1">
              <a:solidFill>
                <a:schemeClr val="dk1"/>
              </a:solidFill>
              <a:effectLst/>
              <a:latin typeface="HELVETICA" panose="020B0604020202020204" pitchFamily="34" charset="0"/>
              <a:ea typeface="+mn-ea"/>
              <a:cs typeface="HELVETICA" panose="020B0604020202020204" pitchFamily="34" charset="0"/>
            </a:rPr>
            <a:t>Empresas de Carga Nacionales</a:t>
          </a: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6856317</xdr:colOff>
      <xdr:row>15</xdr:row>
      <xdr:rowOff>20731</xdr:rowOff>
    </xdr:from>
    <xdr:to>
      <xdr:col>0</xdr:col>
      <xdr:colOff>9904317</xdr:colOff>
      <xdr:row>23</xdr:row>
      <xdr:rowOff>135031</xdr:rowOff>
    </xdr:to>
    <xdr:sp macro="" textlink="">
      <xdr:nvSpPr>
        <xdr:cNvPr id="10" name="Rectángulo: esquinas redondeadas 9">
          <a:hlinkClick xmlns:r="http://schemas.openxmlformats.org/officeDocument/2006/relationships" r:id="rId8"/>
          <a:extLst>
            <a:ext uri="{FF2B5EF4-FFF2-40B4-BE49-F238E27FC236}">
              <a16:creationId xmlns:a16="http://schemas.microsoft.com/office/drawing/2014/main" id="{3A376019-0A33-4FEC-9E06-019494437D1F}"/>
            </a:ext>
          </a:extLst>
        </xdr:cNvPr>
        <xdr:cNvSpPr/>
      </xdr:nvSpPr>
      <xdr:spPr>
        <a:xfrm>
          <a:off x="6856317" y="2295525"/>
          <a:ext cx="3048000" cy="1369359"/>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03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Regulares</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Internacionales</a:t>
          </a: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10085294</xdr:colOff>
      <xdr:row>15</xdr:row>
      <xdr:rowOff>0</xdr:rowOff>
    </xdr:from>
    <xdr:to>
      <xdr:col>2</xdr:col>
      <xdr:colOff>466725</xdr:colOff>
      <xdr:row>23</xdr:row>
      <xdr:rowOff>114300</xdr:rowOff>
    </xdr:to>
    <xdr:sp macro="" textlink="">
      <xdr:nvSpPr>
        <xdr:cNvPr id="11" name="Rectángulo: esquinas redondeadas 10">
          <a:hlinkClick xmlns:r="http://schemas.openxmlformats.org/officeDocument/2006/relationships" r:id="rId9"/>
          <a:extLst>
            <a:ext uri="{FF2B5EF4-FFF2-40B4-BE49-F238E27FC236}">
              <a16:creationId xmlns:a16="http://schemas.microsoft.com/office/drawing/2014/main" id="{CEE5C0D6-ABE0-47AD-A469-B48515C3D81C}"/>
            </a:ext>
          </a:extLst>
        </xdr:cNvPr>
        <xdr:cNvSpPr/>
      </xdr:nvSpPr>
      <xdr:spPr>
        <a:xfrm>
          <a:off x="10085294" y="2274794"/>
          <a:ext cx="2730313" cy="1369359"/>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04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Carga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Internacionales</a:t>
          </a:r>
        </a:p>
      </xdr:txBody>
    </xdr:sp>
    <xdr:clientData/>
  </xdr:twoCellAnchor>
  <xdr:twoCellAnchor>
    <xdr:from>
      <xdr:col>0</xdr:col>
      <xdr:colOff>114300</xdr:colOff>
      <xdr:row>26</xdr:row>
      <xdr:rowOff>28575</xdr:rowOff>
    </xdr:from>
    <xdr:to>
      <xdr:col>0</xdr:col>
      <xdr:colOff>3162300</xdr:colOff>
      <xdr:row>34</xdr:row>
      <xdr:rowOff>142875</xdr:rowOff>
    </xdr:to>
    <xdr:sp macro="" textlink="">
      <xdr:nvSpPr>
        <xdr:cNvPr id="12" name="Rectángulo: esquinas redondeadas 11">
          <a:hlinkClick xmlns:r="http://schemas.openxmlformats.org/officeDocument/2006/relationships" r:id="rId10"/>
          <a:extLst>
            <a:ext uri="{FF2B5EF4-FFF2-40B4-BE49-F238E27FC236}">
              <a16:creationId xmlns:a16="http://schemas.microsoft.com/office/drawing/2014/main" id="{4B2B1630-D3D1-436B-A2FA-8687862AF5C1}"/>
            </a:ext>
          </a:extLst>
        </xdr:cNvPr>
        <xdr:cNvSpPr/>
      </xdr:nvSpPr>
      <xdr:spPr>
        <a:xfrm>
          <a:off x="114300" y="4473575"/>
          <a:ext cx="3048000" cy="13843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05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Aerotaxis</a:t>
          </a: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3476625</xdr:colOff>
      <xdr:row>26</xdr:row>
      <xdr:rowOff>28575</xdr:rowOff>
    </xdr:from>
    <xdr:to>
      <xdr:col>0</xdr:col>
      <xdr:colOff>6524625</xdr:colOff>
      <xdr:row>34</xdr:row>
      <xdr:rowOff>142875</xdr:rowOff>
    </xdr:to>
    <xdr:sp macro="" textlink="">
      <xdr:nvSpPr>
        <xdr:cNvPr id="13" name="Rectángulo: esquinas redondeadas 12">
          <a:hlinkClick xmlns:r="http://schemas.openxmlformats.org/officeDocument/2006/relationships" r:id="rId11"/>
          <a:extLst>
            <a:ext uri="{FF2B5EF4-FFF2-40B4-BE49-F238E27FC236}">
              <a16:creationId xmlns:a16="http://schemas.microsoft.com/office/drawing/2014/main" id="{36A85E0C-C357-4E28-8974-F8840BA425CD}"/>
            </a:ext>
          </a:extLst>
        </xdr:cNvPr>
        <xdr:cNvSpPr/>
      </xdr:nvSpPr>
      <xdr:spPr>
        <a:xfrm>
          <a:off x="3476625" y="4473575"/>
          <a:ext cx="3048000" cy="13843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06 </a:t>
          </a:r>
          <a:endParaRPr lang="es-CO" sz="1600" b="1">
            <a:solidFill>
              <a:schemeClr val="dk1"/>
            </a:solidFill>
            <a:effectLst/>
            <a:latin typeface="HELVETICA" panose="020B0604020202020204" pitchFamily="34" charset="0"/>
            <a:ea typeface="+mn-ea"/>
            <a:cs typeface="HELVETICA" panose="020B0604020202020204" pitchFamily="34" charset="0"/>
          </a:endParaRP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Trabajos Aéreos Especiales</a:t>
          </a: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6850156</xdr:colOff>
      <xdr:row>26</xdr:row>
      <xdr:rowOff>9525</xdr:rowOff>
    </xdr:from>
    <xdr:to>
      <xdr:col>0</xdr:col>
      <xdr:colOff>9898156</xdr:colOff>
      <xdr:row>34</xdr:row>
      <xdr:rowOff>123825</xdr:rowOff>
    </xdr:to>
    <xdr:sp macro="" textlink="">
      <xdr:nvSpPr>
        <xdr:cNvPr id="14" name="Rectángulo: esquinas redondeadas 13">
          <a:hlinkClick xmlns:r="http://schemas.openxmlformats.org/officeDocument/2006/relationships" r:id="rId12"/>
          <a:extLst>
            <a:ext uri="{FF2B5EF4-FFF2-40B4-BE49-F238E27FC236}">
              <a16:creationId xmlns:a16="http://schemas.microsoft.com/office/drawing/2014/main" id="{79BDA949-A348-4636-AFCE-6BD12572EA7D}"/>
            </a:ext>
          </a:extLst>
        </xdr:cNvPr>
        <xdr:cNvSpPr/>
      </xdr:nvSpPr>
      <xdr:spPr>
        <a:xfrm>
          <a:off x="6850156" y="3942790"/>
          <a:ext cx="3048000" cy="1369359"/>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07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Mantenimiento</a:t>
          </a:r>
          <a:r>
            <a:rPr lang="es-CO" sz="1500" b="1" baseline="0">
              <a:solidFill>
                <a:schemeClr val="dk1"/>
              </a:solidFill>
              <a:effectLst/>
              <a:latin typeface="HELVETICA" panose="020B0604020202020204" pitchFamily="34" charset="0"/>
              <a:ea typeface="+mn-ea"/>
              <a:cs typeface="HELVETICA" panose="020B0604020202020204" pitchFamily="34" charset="0"/>
            </a:rPr>
            <a:t> (Talleres)</a:t>
          </a:r>
          <a:endParaRPr lang="es-CO" sz="1500" b="1">
            <a:solidFill>
              <a:schemeClr val="dk1"/>
            </a:solidFill>
            <a:effectLst/>
            <a:latin typeface="HELVETICA" panose="020B0604020202020204" pitchFamily="34" charset="0"/>
            <a:ea typeface="+mn-ea"/>
            <a:cs typeface="HELVETICA" panose="020B0604020202020204" pitchFamily="34" charset="0"/>
          </a:endParaRP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10130118</xdr:colOff>
      <xdr:row>26</xdr:row>
      <xdr:rowOff>0</xdr:rowOff>
    </xdr:from>
    <xdr:to>
      <xdr:col>2</xdr:col>
      <xdr:colOff>515470</xdr:colOff>
      <xdr:row>34</xdr:row>
      <xdr:rowOff>114300</xdr:rowOff>
    </xdr:to>
    <xdr:sp macro="" textlink="">
      <xdr:nvSpPr>
        <xdr:cNvPr id="15" name="Rectángulo: esquinas redondeadas 14">
          <a:hlinkClick xmlns:r="http://schemas.openxmlformats.org/officeDocument/2006/relationships" r:id="rId13"/>
          <a:extLst>
            <a:ext uri="{FF2B5EF4-FFF2-40B4-BE49-F238E27FC236}">
              <a16:creationId xmlns:a16="http://schemas.microsoft.com/office/drawing/2014/main" id="{ADF63939-8361-47E1-91F7-69CE1C6C53B6}"/>
            </a:ext>
          </a:extLst>
        </xdr:cNvPr>
        <xdr:cNvSpPr/>
      </xdr:nvSpPr>
      <xdr:spPr>
        <a:xfrm>
          <a:off x="10130118" y="3933265"/>
          <a:ext cx="2734234" cy="1369359"/>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08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Servicios Aeroportuarios</a:t>
          </a:r>
        </a:p>
      </xdr:txBody>
    </xdr:sp>
    <xdr:clientData/>
  </xdr:twoCellAnchor>
  <xdr:twoCellAnchor>
    <xdr:from>
      <xdr:col>1</xdr:col>
      <xdr:colOff>1513</xdr:colOff>
      <xdr:row>48</xdr:row>
      <xdr:rowOff>42602</xdr:rowOff>
    </xdr:from>
    <xdr:to>
      <xdr:col>2</xdr:col>
      <xdr:colOff>462643</xdr:colOff>
      <xdr:row>50</xdr:row>
      <xdr:rowOff>9072</xdr:rowOff>
    </xdr:to>
    <xdr:sp macro="" textlink="">
      <xdr:nvSpPr>
        <xdr:cNvPr id="17" name="CuadroTexto 16">
          <a:extLst>
            <a:ext uri="{FF2B5EF4-FFF2-40B4-BE49-F238E27FC236}">
              <a16:creationId xmlns:a16="http://schemas.microsoft.com/office/drawing/2014/main" id="{7D265643-8057-411D-AB3B-40481D60B9B1}"/>
            </a:ext>
          </a:extLst>
        </xdr:cNvPr>
        <xdr:cNvSpPr txBox="1"/>
      </xdr:nvSpPr>
      <xdr:spPr>
        <a:xfrm>
          <a:off x="12529156" y="8261316"/>
          <a:ext cx="860273" cy="293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twoCellAnchor>
    <xdr:from>
      <xdr:col>0</xdr:col>
      <xdr:colOff>0</xdr:colOff>
      <xdr:row>48</xdr:row>
      <xdr:rowOff>107325</xdr:rowOff>
    </xdr:from>
    <xdr:to>
      <xdr:col>0</xdr:col>
      <xdr:colOff>1068294</xdr:colOff>
      <xdr:row>50</xdr:row>
      <xdr:rowOff>48867</xdr:rowOff>
    </xdr:to>
    <xdr:sp macro="" textlink="">
      <xdr:nvSpPr>
        <xdr:cNvPr id="19" name="CuadroTexto 18">
          <a:extLst>
            <a:ext uri="{FF2B5EF4-FFF2-40B4-BE49-F238E27FC236}">
              <a16:creationId xmlns:a16="http://schemas.microsoft.com/office/drawing/2014/main" id="{7D547DCC-EC10-4AB8-8943-BCEB60D4F18D}"/>
            </a:ext>
          </a:extLst>
        </xdr:cNvPr>
        <xdr:cNvSpPr txBox="1"/>
      </xdr:nvSpPr>
      <xdr:spPr>
        <a:xfrm>
          <a:off x="0" y="6457325"/>
          <a:ext cx="1068294" cy="259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xdr:from>
      <xdr:col>0</xdr:col>
      <xdr:colOff>108853</xdr:colOff>
      <xdr:row>36</xdr:row>
      <xdr:rowOff>81643</xdr:rowOff>
    </xdr:from>
    <xdr:to>
      <xdr:col>0</xdr:col>
      <xdr:colOff>3175000</xdr:colOff>
      <xdr:row>45</xdr:row>
      <xdr:rowOff>32657</xdr:rowOff>
    </xdr:to>
    <xdr:sp macro="" textlink="">
      <xdr:nvSpPr>
        <xdr:cNvPr id="20" name="Rectángulo: esquinas redondeadas 19">
          <a:hlinkClick xmlns:r="http://schemas.openxmlformats.org/officeDocument/2006/relationships" r:id="rId14"/>
          <a:extLst>
            <a:ext uri="{FF2B5EF4-FFF2-40B4-BE49-F238E27FC236}">
              <a16:creationId xmlns:a16="http://schemas.microsoft.com/office/drawing/2014/main" id="{6B911664-364F-4652-B3B8-7D706AA606AC}"/>
            </a:ext>
          </a:extLst>
        </xdr:cNvPr>
        <xdr:cNvSpPr/>
      </xdr:nvSpPr>
      <xdr:spPr>
        <a:xfrm>
          <a:off x="108853" y="6286500"/>
          <a:ext cx="3066147" cy="1420586"/>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09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Especiales de Carga</a:t>
          </a: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3485696</xdr:colOff>
      <xdr:row>36</xdr:row>
      <xdr:rowOff>73932</xdr:rowOff>
    </xdr:from>
    <xdr:to>
      <xdr:col>0</xdr:col>
      <xdr:colOff>6533696</xdr:colOff>
      <xdr:row>45</xdr:row>
      <xdr:rowOff>24946</xdr:rowOff>
    </xdr:to>
    <xdr:sp macro="" textlink="">
      <xdr:nvSpPr>
        <xdr:cNvPr id="21" name="Rectángulo: esquinas redondeadas 20">
          <a:hlinkClick xmlns:r="http://schemas.openxmlformats.org/officeDocument/2006/relationships" r:id="rId15"/>
          <a:extLst>
            <a:ext uri="{FF2B5EF4-FFF2-40B4-BE49-F238E27FC236}">
              <a16:creationId xmlns:a16="http://schemas.microsoft.com/office/drawing/2014/main" id="{ECAD2FCB-548B-4629-B643-7F3F08317381}"/>
            </a:ext>
          </a:extLst>
        </xdr:cNvPr>
        <xdr:cNvSpPr/>
      </xdr:nvSpPr>
      <xdr:spPr>
        <a:xfrm>
          <a:off x="3485696" y="6278789"/>
          <a:ext cx="3048000" cy="1420586"/>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10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Centros de Instrucción</a:t>
          </a:r>
        </a:p>
      </xdr:txBody>
    </xdr:sp>
    <xdr:clientData/>
  </xdr:twoCellAnchor>
  <xdr:twoCellAnchor>
    <xdr:from>
      <xdr:col>0</xdr:col>
      <xdr:colOff>208643</xdr:colOff>
      <xdr:row>46</xdr:row>
      <xdr:rowOff>145143</xdr:rowOff>
    </xdr:from>
    <xdr:to>
      <xdr:col>0</xdr:col>
      <xdr:colOff>725714</xdr:colOff>
      <xdr:row>48</xdr:row>
      <xdr:rowOff>117930</xdr:rowOff>
    </xdr:to>
    <xdr:sp macro="" textlink="">
      <xdr:nvSpPr>
        <xdr:cNvPr id="22" name="Flecha: hacia la izquierda 21">
          <a:hlinkClick xmlns:r="http://schemas.openxmlformats.org/officeDocument/2006/relationships" r:id="rId16"/>
          <a:extLst>
            <a:ext uri="{FF2B5EF4-FFF2-40B4-BE49-F238E27FC236}">
              <a16:creationId xmlns:a16="http://schemas.microsoft.com/office/drawing/2014/main" id="{11A8D842-0032-CD30-520A-4D848D04DC63}"/>
            </a:ext>
          </a:extLst>
        </xdr:cNvPr>
        <xdr:cNvSpPr/>
      </xdr:nvSpPr>
      <xdr:spPr bwMode="auto">
        <a:xfrm>
          <a:off x="208643" y="7638143"/>
          <a:ext cx="517071" cy="299358"/>
        </a:xfrm>
        <a:prstGeom prst="leftArrow">
          <a:avLst/>
        </a:prstGeom>
        <a:solidFill>
          <a:schemeClr val="accent4">
            <a:lumMod val="7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xdr:twoCellAnchor>
  <xdr:twoCellAnchor>
    <xdr:from>
      <xdr:col>1</xdr:col>
      <xdr:colOff>188647</xdr:colOff>
      <xdr:row>46</xdr:row>
      <xdr:rowOff>143329</xdr:rowOff>
    </xdr:from>
    <xdr:to>
      <xdr:col>2</xdr:col>
      <xdr:colOff>306575</xdr:colOff>
      <xdr:row>48</xdr:row>
      <xdr:rowOff>116116</xdr:rowOff>
    </xdr:to>
    <xdr:sp macro="" textlink="">
      <xdr:nvSpPr>
        <xdr:cNvPr id="23" name="Flecha: hacia la izquierda 22">
          <a:hlinkClick xmlns:r="http://schemas.openxmlformats.org/officeDocument/2006/relationships" r:id="rId17"/>
          <a:extLst>
            <a:ext uri="{FF2B5EF4-FFF2-40B4-BE49-F238E27FC236}">
              <a16:creationId xmlns:a16="http://schemas.microsoft.com/office/drawing/2014/main" id="{6076CD01-FDD8-4D4B-B913-A32E6C9C5F36}"/>
            </a:ext>
          </a:extLst>
        </xdr:cNvPr>
        <xdr:cNvSpPr/>
      </xdr:nvSpPr>
      <xdr:spPr bwMode="auto">
        <a:xfrm rot="10800000">
          <a:off x="12716290" y="7636329"/>
          <a:ext cx="517071" cy="299358"/>
        </a:xfrm>
        <a:prstGeom prst="leftArrow">
          <a:avLst/>
        </a:prstGeom>
        <a:solidFill>
          <a:schemeClr val="accent4">
            <a:lumMod val="7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42</xdr:row>
      <xdr:rowOff>0</xdr:rowOff>
    </xdr:from>
    <xdr:to>
      <xdr:col>16384</xdr:col>
      <xdr:colOff>757532</xdr:colOff>
      <xdr:row>42</xdr:row>
      <xdr:rowOff>0</xdr:rowOff>
    </xdr:to>
    <xdr:pic>
      <xdr:nvPicPr>
        <xdr:cNvPr id="2" name="Imagen 1">
          <a:extLst>
            <a:ext uri="{FF2B5EF4-FFF2-40B4-BE49-F238E27FC236}">
              <a16:creationId xmlns:a16="http://schemas.microsoft.com/office/drawing/2014/main" id="{636FA1C1-0DB0-48EE-A545-647869F0961E}"/>
            </a:ext>
          </a:extLst>
        </xdr:cNvPr>
        <xdr:cNvPicPr>
          <a:picLocks noChangeAspect="1"/>
        </xdr:cNvPicPr>
      </xdr:nvPicPr>
      <xdr:blipFill>
        <a:blip xmlns:r="http://schemas.openxmlformats.org/officeDocument/2006/relationships" r:embed="rId1"/>
        <a:stretch>
          <a:fillRect/>
        </a:stretch>
      </xdr:blipFill>
      <xdr:spPr>
        <a:xfrm>
          <a:off x="10534650" y="6191250"/>
          <a:ext cx="757532" cy="0"/>
        </a:xfrm>
        <a:prstGeom prst="rect">
          <a:avLst/>
        </a:prstGeom>
      </xdr:spPr>
    </xdr:pic>
    <xdr:clientData/>
  </xdr:twoCellAnchor>
  <xdr:twoCellAnchor editAs="oneCell">
    <xdr:from>
      <xdr:col>0</xdr:col>
      <xdr:colOff>25400</xdr:colOff>
      <xdr:row>0</xdr:row>
      <xdr:rowOff>12700</xdr:rowOff>
    </xdr:from>
    <xdr:to>
      <xdr:col>16384</xdr:col>
      <xdr:colOff>19050</xdr:colOff>
      <xdr:row>6</xdr:row>
      <xdr:rowOff>101600</xdr:rowOff>
    </xdr:to>
    <xdr:pic>
      <xdr:nvPicPr>
        <xdr:cNvPr id="3" name="Imagen 2">
          <a:extLst>
            <a:ext uri="{FF2B5EF4-FFF2-40B4-BE49-F238E27FC236}">
              <a16:creationId xmlns:a16="http://schemas.microsoft.com/office/drawing/2014/main" id="{67232413-84BC-45D8-B549-92ED9A0502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0" y="12700"/>
          <a:ext cx="10007600" cy="1041400"/>
        </a:xfrm>
        <a:prstGeom prst="rect">
          <a:avLst/>
        </a:prstGeom>
      </xdr:spPr>
    </xdr:pic>
    <xdr:clientData/>
  </xdr:twoCellAnchor>
  <xdr:twoCellAnchor>
    <xdr:from>
      <xdr:col>0</xdr:col>
      <xdr:colOff>0</xdr:colOff>
      <xdr:row>7</xdr:row>
      <xdr:rowOff>25400</xdr:rowOff>
    </xdr:from>
    <xdr:to>
      <xdr:col>0</xdr:col>
      <xdr:colOff>3832412</xdr:colOff>
      <xdr:row>11</xdr:row>
      <xdr:rowOff>38100</xdr:rowOff>
    </xdr:to>
    <xdr:sp macro="" textlink="">
      <xdr:nvSpPr>
        <xdr:cNvPr id="4" name="CuadroTexto 3">
          <a:extLst>
            <a:ext uri="{FF2B5EF4-FFF2-40B4-BE49-F238E27FC236}">
              <a16:creationId xmlns:a16="http://schemas.microsoft.com/office/drawing/2014/main" id="{0938CADF-CF3A-4B19-AB09-CE9D9EB3CB20}"/>
            </a:ext>
          </a:extLst>
        </xdr:cNvPr>
        <xdr:cNvSpPr txBox="1"/>
      </xdr:nvSpPr>
      <xdr:spPr>
        <a:xfrm>
          <a:off x="0" y="1123576"/>
          <a:ext cx="3832412" cy="640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4400" b="1">
              <a:solidFill>
                <a:schemeClr val="accent4">
                  <a:lumMod val="75000"/>
                </a:schemeClr>
              </a:solidFill>
              <a:latin typeface="HELVETICA" panose="020B0604020202020204" pitchFamily="34" charset="0"/>
              <a:cs typeface="HELVETICA" panose="020B0604020202020204" pitchFamily="34" charset="0"/>
            </a:rPr>
            <a:t>OBJETIVO</a:t>
          </a:r>
        </a:p>
      </xdr:txBody>
    </xdr:sp>
    <xdr:clientData/>
  </xdr:twoCellAnchor>
  <xdr:twoCellAnchor>
    <xdr:from>
      <xdr:col>0</xdr:col>
      <xdr:colOff>34925</xdr:colOff>
      <xdr:row>11</xdr:row>
      <xdr:rowOff>28575</xdr:rowOff>
    </xdr:from>
    <xdr:to>
      <xdr:col>0</xdr:col>
      <xdr:colOff>9525000</xdr:colOff>
      <xdr:row>41</xdr:row>
      <xdr:rowOff>114300</xdr:rowOff>
    </xdr:to>
    <xdr:sp macro="" textlink="">
      <xdr:nvSpPr>
        <xdr:cNvPr id="5" name="CuadroTexto 4">
          <a:extLst>
            <a:ext uri="{FF2B5EF4-FFF2-40B4-BE49-F238E27FC236}">
              <a16:creationId xmlns:a16="http://schemas.microsoft.com/office/drawing/2014/main" id="{E26FEAC8-44E7-4CC7-B071-BF791848DAF4}"/>
            </a:ext>
          </a:extLst>
        </xdr:cNvPr>
        <xdr:cNvSpPr txBox="1"/>
      </xdr:nvSpPr>
      <xdr:spPr>
        <a:xfrm>
          <a:off x="34925" y="1809750"/>
          <a:ext cx="9490075" cy="4943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400">
              <a:solidFill>
                <a:schemeClr val="dk1"/>
              </a:solidFill>
              <a:effectLst/>
              <a:latin typeface="HELVETICA" panose="020B0604020202020204" pitchFamily="34" charset="0"/>
              <a:ea typeface="+mn-ea"/>
              <a:cs typeface="HELVETICA" panose="020B0604020202020204" pitchFamily="34" charset="0"/>
            </a:rPr>
            <a:t>El presente boletin financiero Aeronáutico,</a:t>
          </a:r>
          <a:r>
            <a:rPr lang="es-CO" sz="1400" baseline="0">
              <a:solidFill>
                <a:schemeClr val="dk1"/>
              </a:solidFill>
              <a:effectLst/>
              <a:latin typeface="HELVETICA" panose="020B0604020202020204" pitchFamily="34" charset="0"/>
              <a:ea typeface="+mn-ea"/>
              <a:cs typeface="HELVETICA" panose="020B0604020202020204" pitchFamily="34" charset="0"/>
            </a:rPr>
            <a:t> presenta los estados financieros de las diferentes empresas del sector, detallando cada uno de las cuentas contables que lo conforman, asi mismo presenta el calculo de los indicadores financieros para su respectivo analisis.</a:t>
          </a:r>
        </a:p>
        <a:p>
          <a:pPr algn="just"/>
          <a:endParaRPr lang="es-CO" sz="1400">
            <a:solidFill>
              <a:schemeClr val="dk1"/>
            </a:solidFill>
            <a:effectLst/>
            <a:latin typeface="HELVETICA" panose="020B0604020202020204" pitchFamily="34" charset="0"/>
            <a:ea typeface="+mn-ea"/>
            <a:cs typeface="HELVETICA" panose="020B0604020202020204" pitchFamily="34" charset="0"/>
          </a:endParaRPr>
        </a:p>
        <a:p>
          <a:pPr algn="just"/>
          <a:r>
            <a:rPr lang="es-CO" sz="1400">
              <a:solidFill>
                <a:schemeClr val="dk1"/>
              </a:solidFill>
              <a:effectLst/>
              <a:latin typeface="HELVETICA" panose="020B0604020202020204" pitchFamily="34" charset="0"/>
              <a:ea typeface="+mn-ea"/>
              <a:cs typeface="HELVETICA" panose="020B0604020202020204" pitchFamily="34" charset="0"/>
            </a:rPr>
            <a:t>Para el presente boletín se definen los siguientes términos:</a:t>
          </a:r>
        </a:p>
        <a:p>
          <a:pPr algn="just"/>
          <a:endParaRPr lang="es-CO" sz="1400">
            <a:solidFill>
              <a:schemeClr val="dk1"/>
            </a:solidFill>
            <a:effectLst/>
            <a:latin typeface="HELVETICA" panose="020B0604020202020204" pitchFamily="34" charset="0"/>
            <a:ea typeface="+mn-ea"/>
            <a:cs typeface="HELVETICA" panose="020B0604020202020204" pitchFamily="34" charset="0"/>
          </a:endParaRPr>
        </a:p>
        <a:p>
          <a:pPr algn="just"/>
          <a:r>
            <a:rPr lang="es-CO" sz="1400" b="1">
              <a:solidFill>
                <a:schemeClr val="dk1"/>
              </a:solidFill>
              <a:effectLst/>
              <a:latin typeface="HELVETICA" panose="020B0604020202020204" pitchFamily="34" charset="0"/>
              <a:ea typeface="+mn-ea"/>
              <a:cs typeface="HELVETICA" panose="020B0604020202020204" pitchFamily="34" charset="0"/>
            </a:rPr>
            <a:t>Estado de Situación Financiera:</a:t>
          </a:r>
          <a:r>
            <a:rPr lang="es-CO" sz="1400">
              <a:solidFill>
                <a:schemeClr val="dk1"/>
              </a:solidFill>
              <a:effectLst/>
              <a:latin typeface="HELVETICA" panose="020B0604020202020204" pitchFamily="34" charset="0"/>
              <a:ea typeface="+mn-ea"/>
              <a:cs typeface="HELVETICA" panose="020B0604020202020204" pitchFamily="34" charset="0"/>
            </a:rPr>
            <a:t> P</a:t>
          </a:r>
          <a:r>
            <a:rPr lang="es-CO" sz="1400" b="0" i="0">
              <a:solidFill>
                <a:schemeClr val="dk1"/>
              </a:solidFill>
              <a:effectLst/>
              <a:latin typeface="Helvetica" panose="020B0604020202020204" pitchFamily="34" charset="0"/>
              <a:ea typeface="+mn-ea"/>
              <a:cs typeface="Helvetica" panose="020B0604020202020204" pitchFamily="34" charset="0"/>
            </a:rPr>
            <a:t>resenta en forma clasificada, resumida y consistente, la situación financiera de la entidad a una fecha determinada y revela la totalidad de sus bienes, derechos y obligaciones, y la situación del patrimonio.</a:t>
          </a:r>
          <a:endParaRPr lang="es-CO" sz="1400">
            <a:solidFill>
              <a:schemeClr val="dk1"/>
            </a:solidFill>
            <a:effectLst/>
            <a:latin typeface="Helvetica" panose="020B0604020202020204" pitchFamily="34" charset="0"/>
            <a:ea typeface="+mn-ea"/>
            <a:cs typeface="Helvetica" panose="020B0604020202020204" pitchFamily="34" charset="0"/>
          </a:endParaRPr>
        </a:p>
        <a:p>
          <a:pPr algn="just"/>
          <a:endParaRPr lang="es-CO" sz="1400">
            <a:solidFill>
              <a:schemeClr val="dk1"/>
            </a:solidFill>
            <a:effectLst/>
            <a:latin typeface="HELVETICA" panose="020B0604020202020204" pitchFamily="34" charset="0"/>
            <a:ea typeface="+mn-ea"/>
            <a:cs typeface="HELVETICA" panose="020B0604020202020204" pitchFamily="34" charset="0"/>
          </a:endParaRPr>
        </a:p>
        <a:p>
          <a:pPr algn="just"/>
          <a:r>
            <a:rPr lang="es-CO" sz="1400" b="1">
              <a:solidFill>
                <a:schemeClr val="dk1"/>
              </a:solidFill>
              <a:effectLst/>
              <a:latin typeface="HELVETICA" panose="020B0604020202020204" pitchFamily="34" charset="0"/>
              <a:ea typeface="+mn-ea"/>
              <a:cs typeface="HELVETICA" panose="020B0604020202020204" pitchFamily="34" charset="0"/>
            </a:rPr>
            <a:t>Estado de Resultados Integal: </a:t>
          </a:r>
          <a:r>
            <a:rPr lang="es-CO" sz="1400" b="0">
              <a:solidFill>
                <a:schemeClr val="dk1"/>
              </a:solidFill>
              <a:effectLst/>
              <a:latin typeface="HELVETICA" panose="020B0604020202020204" pitchFamily="34" charset="0"/>
              <a:ea typeface="+mn-ea"/>
              <a:cs typeface="HELVETICA" panose="020B0604020202020204" pitchFamily="34" charset="0"/>
            </a:rPr>
            <a:t>P</a:t>
          </a:r>
          <a:r>
            <a:rPr lang="es-CO" sz="1400" b="0" i="0">
              <a:solidFill>
                <a:schemeClr val="dk1"/>
              </a:solidFill>
              <a:effectLst/>
              <a:latin typeface="Helvetica" panose="020B0604020202020204" pitchFamily="34" charset="0"/>
              <a:ea typeface="+mn-ea"/>
              <a:cs typeface="Helvetica" panose="020B0604020202020204" pitchFamily="34" charset="0"/>
            </a:rPr>
            <a:t>resenta las partidas de ingresos, gastos y costos de la entidad, con base en el flujo de ingresos generados y consumidos durante el periodo.</a:t>
          </a:r>
          <a:endParaRPr lang="es-CO" sz="1400" b="1">
            <a:solidFill>
              <a:schemeClr val="dk1"/>
            </a:solidFill>
            <a:effectLst/>
            <a:latin typeface="Helvetica" panose="020B0604020202020204" pitchFamily="34" charset="0"/>
            <a:ea typeface="+mn-ea"/>
            <a:cs typeface="Helvetica" panose="020B0604020202020204" pitchFamily="34" charset="0"/>
          </a:endParaRPr>
        </a:p>
        <a:p>
          <a:pPr algn="just"/>
          <a:endParaRPr lang="es-CO" sz="1400">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1400" b="1">
              <a:solidFill>
                <a:schemeClr val="dk1"/>
              </a:solidFill>
              <a:effectLst/>
              <a:latin typeface="HELVETICA" panose="020B0604020202020204" pitchFamily="34" charset="0"/>
              <a:ea typeface="+mn-ea"/>
              <a:cs typeface="HELVETICA" panose="020B0604020202020204" pitchFamily="34" charset="0"/>
            </a:rPr>
            <a:t>Activo: </a:t>
          </a:r>
          <a:r>
            <a:rPr lang="es-CO" sz="1400" b="0" i="0">
              <a:solidFill>
                <a:schemeClr val="dk1"/>
              </a:solidFill>
              <a:effectLst/>
              <a:latin typeface="Helvetica" panose="020B0604020202020204" pitchFamily="34" charset="0"/>
              <a:ea typeface="+mn-ea"/>
              <a:cs typeface="Helvetica" panose="020B0604020202020204" pitchFamily="34" charset="0"/>
            </a:rPr>
            <a:t>Los activos son todos aquellos bienes, recursos y servicios que puede poseer una empresa.</a:t>
          </a:r>
          <a:endParaRPr lang="es-CO" sz="1400" b="1">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1400" b="1">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1400" b="1">
              <a:solidFill>
                <a:schemeClr val="dk1"/>
              </a:solidFill>
              <a:effectLst/>
              <a:latin typeface="HELVETICA" panose="020B0604020202020204" pitchFamily="34" charset="0"/>
              <a:ea typeface="+mn-ea"/>
              <a:cs typeface="HELVETICA" panose="020B0604020202020204" pitchFamily="34" charset="0"/>
            </a:rPr>
            <a:t>Pasivo: </a:t>
          </a:r>
          <a:r>
            <a:rPr lang="es-CO" sz="1400" b="0">
              <a:solidFill>
                <a:schemeClr val="dk1"/>
              </a:solidFill>
              <a:effectLst/>
              <a:latin typeface="Helvetica" panose="020B0604020202020204" pitchFamily="34" charset="0"/>
              <a:ea typeface="+mn-ea"/>
              <a:cs typeface="Helvetica" panose="020B0604020202020204" pitchFamily="34" charset="0"/>
            </a:rPr>
            <a:t>S</a:t>
          </a:r>
          <a:r>
            <a:rPr lang="es-CO" sz="1400" b="0" i="0">
              <a:solidFill>
                <a:schemeClr val="dk1"/>
              </a:solidFill>
              <a:effectLst/>
              <a:latin typeface="Helvetica" panose="020B0604020202020204" pitchFamily="34" charset="0"/>
              <a:ea typeface="+mn-ea"/>
              <a:cs typeface="Helvetica" panose="020B0604020202020204" pitchFamily="34" charset="0"/>
            </a:rPr>
            <a:t>on las deudas y las obligaciones que contrae</a:t>
          </a:r>
          <a:r>
            <a:rPr lang="es-CO" sz="1400" b="0" i="0" baseline="0">
              <a:solidFill>
                <a:schemeClr val="dk1"/>
              </a:solidFill>
              <a:effectLst/>
              <a:latin typeface="Helvetica" panose="020B0604020202020204" pitchFamily="34" charset="0"/>
              <a:ea typeface="+mn-ea"/>
              <a:cs typeface="Helvetica" panose="020B0604020202020204" pitchFamily="34" charset="0"/>
            </a:rPr>
            <a:t> la empresa</a:t>
          </a:r>
          <a:r>
            <a:rPr lang="es-CO" sz="1400" b="0" i="0">
              <a:solidFill>
                <a:schemeClr val="dk1"/>
              </a:solidFill>
              <a:effectLst/>
              <a:latin typeface="Helvetica" panose="020B0604020202020204" pitchFamily="34" charset="0"/>
              <a:ea typeface="+mn-ea"/>
              <a:cs typeface="Helvetica" panose="020B0604020202020204" pitchFamily="34" charset="0"/>
            </a:rPr>
            <a:t>.</a:t>
          </a:r>
          <a:endParaRPr lang="es-CO" sz="1400" b="0">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1400" b="1">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1400" b="1">
              <a:solidFill>
                <a:schemeClr val="dk1"/>
              </a:solidFill>
              <a:effectLst/>
              <a:latin typeface="HELVETICA" panose="020B0604020202020204" pitchFamily="34" charset="0"/>
              <a:ea typeface="+mn-ea"/>
              <a:cs typeface="HELVETICA" panose="020B0604020202020204" pitchFamily="34" charset="0"/>
            </a:rPr>
            <a:t>Patrimonio: </a:t>
          </a:r>
          <a:r>
            <a:rPr lang="es-CO" sz="1400" b="0">
              <a:solidFill>
                <a:schemeClr val="dk1"/>
              </a:solidFill>
              <a:effectLst/>
              <a:latin typeface="Helvetica" panose="020B0604020202020204" pitchFamily="34" charset="0"/>
              <a:ea typeface="+mn-ea"/>
              <a:cs typeface="Helvetica" panose="020B0604020202020204" pitchFamily="34" charset="0"/>
            </a:rPr>
            <a:t>S</a:t>
          </a:r>
          <a:r>
            <a:rPr lang="es-CO" sz="1400" b="0" i="0">
              <a:solidFill>
                <a:schemeClr val="dk1"/>
              </a:solidFill>
              <a:effectLst/>
              <a:latin typeface="Helvetica" panose="020B0604020202020204" pitchFamily="34" charset="0"/>
              <a:ea typeface="+mn-ea"/>
              <a:cs typeface="Helvetica" panose="020B0604020202020204" pitchFamily="34" charset="0"/>
            </a:rPr>
            <a:t>el conjunto de bienes, derechos y obligaciones que tiene una persona o empresa.</a:t>
          </a:r>
          <a:endParaRPr lang="es-CO" sz="1400" b="0">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1100" b="1">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1400" b="1">
              <a:solidFill>
                <a:schemeClr val="dk1"/>
              </a:solidFill>
              <a:effectLst/>
              <a:latin typeface="HELVETICA" panose="020B0604020202020204" pitchFamily="34" charset="0"/>
              <a:ea typeface="+mn-ea"/>
              <a:cs typeface="HELVETICA" panose="020B0604020202020204" pitchFamily="34" charset="0"/>
            </a:rPr>
            <a:t>Utilidad Operacional: </a:t>
          </a:r>
          <a:r>
            <a:rPr lang="es-CO" sz="1400" b="0" i="0">
              <a:solidFill>
                <a:schemeClr val="dk1"/>
              </a:solidFill>
              <a:effectLst/>
              <a:latin typeface="Helvetica" panose="020B0604020202020204" pitchFamily="34" charset="0"/>
              <a:ea typeface="+mn-ea"/>
              <a:cs typeface="Helvetica" panose="020B0604020202020204" pitchFamily="34" charset="0"/>
            </a:rPr>
            <a:t>Es el indicador que mide la utilidad que genera una compañía sin tomar en consideración los impuestos, gastos financieros u otro tipo de gasto contable que no implique una salida de dinero real de la organización.</a:t>
          </a:r>
          <a:endParaRPr lang="es-CO" sz="14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8486775</xdr:colOff>
      <xdr:row>38</xdr:row>
      <xdr:rowOff>0</xdr:rowOff>
    </xdr:from>
    <xdr:to>
      <xdr:col>0</xdr:col>
      <xdr:colOff>9522880</xdr:colOff>
      <xdr:row>40</xdr:row>
      <xdr:rowOff>114300</xdr:rowOff>
    </xdr:to>
    <xdr:sp macro="" textlink="">
      <xdr:nvSpPr>
        <xdr:cNvPr id="6" name="Rectángulo 5">
          <a:hlinkClick xmlns:r="http://schemas.openxmlformats.org/officeDocument/2006/relationships" r:id="rId3"/>
          <a:extLst>
            <a:ext uri="{FF2B5EF4-FFF2-40B4-BE49-F238E27FC236}">
              <a16:creationId xmlns:a16="http://schemas.microsoft.com/office/drawing/2014/main" id="{F7E9D039-7793-405A-8405-BEC006CB5406}"/>
            </a:ext>
          </a:extLst>
        </xdr:cNvPr>
        <xdr:cNvSpPr/>
      </xdr:nvSpPr>
      <xdr:spPr>
        <a:xfrm>
          <a:off x="8486775" y="6153150"/>
          <a:ext cx="1036105" cy="438150"/>
        </a:xfrm>
        <a:prstGeom prst="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solidFill>
                <a:schemeClr val="bg1"/>
              </a:solidFill>
            </a:rPr>
            <a:t>Menú Principal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101600</xdr:colOff>
      <xdr:row>12</xdr:row>
      <xdr:rowOff>88900</xdr:rowOff>
    </xdr:from>
    <xdr:to>
      <xdr:col>3</xdr:col>
      <xdr:colOff>1035050</xdr:colOff>
      <xdr:row>28</xdr:row>
      <xdr:rowOff>44450</xdr:rowOff>
    </xdr:to>
    <xdr:graphicFrame macro="">
      <xdr:nvGraphicFramePr>
        <xdr:cNvPr id="3" name="Gráfico 2">
          <a:extLst>
            <a:ext uri="{FF2B5EF4-FFF2-40B4-BE49-F238E27FC236}">
              <a16:creationId xmlns:a16="http://schemas.microsoft.com/office/drawing/2014/main" id="{6C35A256-27FB-400C-9FCD-35D4BD204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1162050</xdr:colOff>
      <xdr:row>12</xdr:row>
      <xdr:rowOff>88900</xdr:rowOff>
    </xdr:from>
    <xdr:to>
      <xdr:col>8</xdr:col>
      <xdr:colOff>403225</xdr:colOff>
      <xdr:row>28</xdr:row>
      <xdr:rowOff>44450</xdr:rowOff>
    </xdr:to>
    <xdr:graphicFrame macro="">
      <xdr:nvGraphicFramePr>
        <xdr:cNvPr id="4" name="Gráfico 3">
          <a:extLst>
            <a:ext uri="{FF2B5EF4-FFF2-40B4-BE49-F238E27FC236}">
              <a16:creationId xmlns:a16="http://schemas.microsoft.com/office/drawing/2014/main" id="{185900BE-7CAC-1739-95CF-159B29450E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28</xdr:row>
      <xdr:rowOff>146050</xdr:rowOff>
    </xdr:from>
    <xdr:to>
      <xdr:col>3</xdr:col>
      <xdr:colOff>1022350</xdr:colOff>
      <xdr:row>44</xdr:row>
      <xdr:rowOff>88900</xdr:rowOff>
    </xdr:to>
    <xdr:graphicFrame macro="">
      <xdr:nvGraphicFramePr>
        <xdr:cNvPr id="6" name="Gráfico 5">
          <a:extLst>
            <a:ext uri="{FF2B5EF4-FFF2-40B4-BE49-F238E27FC236}">
              <a16:creationId xmlns:a16="http://schemas.microsoft.com/office/drawing/2014/main" id="{AD82AA3C-8731-4DCA-A030-D650A1441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4506057</xdr:colOff>
      <xdr:row>14</xdr:row>
      <xdr:rowOff>161192</xdr:rowOff>
    </xdr:from>
    <xdr:to>
      <xdr:col>1</xdr:col>
      <xdr:colOff>168518</xdr:colOff>
      <xdr:row>15</xdr:row>
      <xdr:rowOff>146538</xdr:rowOff>
    </xdr:to>
    <xdr:sp macro="" textlink="">
      <xdr:nvSpPr>
        <xdr:cNvPr id="2" name="Rectángulo: esquinas redondeadas 9">
          <a:extLst>
            <a:ext uri="{FF2B5EF4-FFF2-40B4-BE49-F238E27FC236}">
              <a16:creationId xmlns:a16="http://schemas.microsoft.com/office/drawing/2014/main" id="{3DFF4FAD-0E69-469A-80F1-F71E5FB9B32B}"/>
            </a:ext>
          </a:extLst>
        </xdr:cNvPr>
        <xdr:cNvSpPr/>
      </xdr:nvSpPr>
      <xdr:spPr>
        <a:xfrm>
          <a:off x="4506057" y="3077307"/>
          <a:ext cx="300403" cy="146539"/>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95250</xdr:colOff>
      <xdr:row>45</xdr:row>
      <xdr:rowOff>29308</xdr:rowOff>
    </xdr:from>
    <xdr:to>
      <xdr:col>3</xdr:col>
      <xdr:colOff>1028700</xdr:colOff>
      <xdr:row>60</xdr:row>
      <xdr:rowOff>146051</xdr:rowOff>
    </xdr:to>
    <xdr:graphicFrame macro="">
      <xdr:nvGraphicFramePr>
        <xdr:cNvPr id="5" name="Gráfico 4">
          <a:extLst>
            <a:ext uri="{FF2B5EF4-FFF2-40B4-BE49-F238E27FC236}">
              <a16:creationId xmlns:a16="http://schemas.microsoft.com/office/drawing/2014/main" id="{EFCCB439-02BF-4C51-AA82-112134B35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849923</xdr:colOff>
      <xdr:row>47</xdr:row>
      <xdr:rowOff>51288</xdr:rowOff>
    </xdr:from>
    <xdr:to>
      <xdr:col>1</xdr:col>
      <xdr:colOff>1150326</xdr:colOff>
      <xdr:row>48</xdr:row>
      <xdr:rowOff>36633</xdr:rowOff>
    </xdr:to>
    <xdr:sp macro="" textlink="">
      <xdr:nvSpPr>
        <xdr:cNvPr id="7" name="Rectángulo: esquinas redondeadas 9">
          <a:extLst>
            <a:ext uri="{FF2B5EF4-FFF2-40B4-BE49-F238E27FC236}">
              <a16:creationId xmlns:a16="http://schemas.microsoft.com/office/drawing/2014/main" id="{688B118D-CDE1-40C3-94DE-099FAB821BC3}"/>
            </a:ext>
          </a:extLst>
        </xdr:cNvPr>
        <xdr:cNvSpPr/>
      </xdr:nvSpPr>
      <xdr:spPr>
        <a:xfrm>
          <a:off x="5487865" y="8125557"/>
          <a:ext cx="300403" cy="14653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43962</xdr:colOff>
      <xdr:row>45</xdr:row>
      <xdr:rowOff>21982</xdr:rowOff>
    </xdr:from>
    <xdr:to>
      <xdr:col>8</xdr:col>
      <xdr:colOff>450118</xdr:colOff>
      <xdr:row>60</xdr:row>
      <xdr:rowOff>117232</xdr:rowOff>
    </xdr:to>
    <xdr:graphicFrame macro="">
      <xdr:nvGraphicFramePr>
        <xdr:cNvPr id="9" name="Gráfico 8">
          <a:extLst>
            <a:ext uri="{FF2B5EF4-FFF2-40B4-BE49-F238E27FC236}">
              <a16:creationId xmlns:a16="http://schemas.microsoft.com/office/drawing/2014/main" id="{FDADFFCA-1B9F-45E3-A8ED-9B51202D3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102577</xdr:colOff>
      <xdr:row>62</xdr:row>
      <xdr:rowOff>0</xdr:rowOff>
    </xdr:from>
    <xdr:to>
      <xdr:col>3</xdr:col>
      <xdr:colOff>1036027</xdr:colOff>
      <xdr:row>77</xdr:row>
      <xdr:rowOff>116743</xdr:rowOff>
    </xdr:to>
    <xdr:graphicFrame macro="">
      <xdr:nvGraphicFramePr>
        <xdr:cNvPr id="10" name="Gráfico 9">
          <a:extLst>
            <a:ext uri="{FF2B5EF4-FFF2-40B4-BE49-F238E27FC236}">
              <a16:creationId xmlns:a16="http://schemas.microsoft.com/office/drawing/2014/main" id="{B6A809CC-0026-46B8-B900-CCDC4B6A9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853275</xdr:colOff>
      <xdr:row>0</xdr:row>
      <xdr:rowOff>34022</xdr:rowOff>
    </xdr:from>
    <xdr:to>
      <xdr:col>0</xdr:col>
      <xdr:colOff>2631277</xdr:colOff>
      <xdr:row>1</xdr:row>
      <xdr:rowOff>95250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7D8FF468-A367-4F95-AC5B-BCDA70C16270}"/>
            </a:ext>
          </a:extLst>
        </xdr:cNvPr>
        <xdr:cNvSpPr/>
      </xdr:nvSpPr>
      <xdr:spPr>
        <a:xfrm>
          <a:off x="853275" y="34022"/>
          <a:ext cx="1778002" cy="287447"/>
        </a:xfrm>
        <a:prstGeom prst="roundRect">
          <a:avLst/>
        </a:prstGeom>
        <a:solidFill>
          <a:schemeClr val="accent4">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effectLst/>
              <a:latin typeface="HELVETICA" panose="020B0604020202020204" pitchFamily="34" charset="0"/>
              <a:ea typeface="+mn-ea"/>
              <a:cs typeface="HELVETICA" panose="020B0604020202020204" pitchFamily="34" charset="0"/>
            </a:rPr>
            <a:t>Menú Principal</a:t>
          </a:r>
          <a:endParaRPr lang="es-CO" sz="12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750794</xdr:colOff>
      <xdr:row>0</xdr:row>
      <xdr:rowOff>0</xdr:rowOff>
    </xdr:from>
    <xdr:to>
      <xdr:col>0</xdr:col>
      <xdr:colOff>2528796</xdr:colOff>
      <xdr:row>1</xdr:row>
      <xdr:rowOff>63329</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35547529-520F-43E8-BC75-31A6B54BD110}"/>
            </a:ext>
          </a:extLst>
        </xdr:cNvPr>
        <xdr:cNvSpPr/>
      </xdr:nvSpPr>
      <xdr:spPr>
        <a:xfrm>
          <a:off x="750794" y="0"/>
          <a:ext cx="1778002" cy="287447"/>
        </a:xfrm>
        <a:prstGeom prst="roundRect">
          <a:avLst/>
        </a:prstGeom>
        <a:solidFill>
          <a:schemeClr val="accent4">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effectLst/>
              <a:latin typeface="HELVETICA" panose="020B0604020202020204" pitchFamily="34" charset="0"/>
              <a:ea typeface="+mn-ea"/>
              <a:cs typeface="HELVETICA" panose="020B0604020202020204" pitchFamily="34" charset="0"/>
            </a:rPr>
            <a:t>Menú Principal</a:t>
          </a:r>
          <a:endParaRPr lang="es-CO" sz="12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993910</xdr:colOff>
      <xdr:row>0</xdr:row>
      <xdr:rowOff>19489</xdr:rowOff>
    </xdr:from>
    <xdr:to>
      <xdr:col>0</xdr:col>
      <xdr:colOff>2771912</xdr:colOff>
      <xdr:row>1</xdr:row>
      <xdr:rowOff>75023</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54CE6EDD-E2ED-412B-8EAB-4CF0755A8653}"/>
            </a:ext>
          </a:extLst>
        </xdr:cNvPr>
        <xdr:cNvSpPr/>
      </xdr:nvSpPr>
      <xdr:spPr>
        <a:xfrm>
          <a:off x="993910" y="19489"/>
          <a:ext cx="1778002" cy="279652"/>
        </a:xfrm>
        <a:prstGeom prst="roundRect">
          <a:avLst/>
        </a:prstGeom>
        <a:solidFill>
          <a:schemeClr val="accent4">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effectLst/>
              <a:latin typeface="HELVETICA" panose="020B0604020202020204" pitchFamily="34" charset="0"/>
              <a:ea typeface="+mn-ea"/>
              <a:cs typeface="HELVETICA" panose="020B0604020202020204" pitchFamily="34" charset="0"/>
            </a:rPr>
            <a:t>Menú Principal</a:t>
          </a:r>
          <a:endParaRPr lang="es-CO" sz="12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821531</xdr:colOff>
      <xdr:row>0</xdr:row>
      <xdr:rowOff>23813</xdr:rowOff>
    </xdr:from>
    <xdr:to>
      <xdr:col>0</xdr:col>
      <xdr:colOff>2599533</xdr:colOff>
      <xdr:row>1</xdr:row>
      <xdr:rowOff>85041</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89CAE5E-E8B6-4E3D-9983-EF2F3B2B7E89}"/>
            </a:ext>
          </a:extLst>
        </xdr:cNvPr>
        <xdr:cNvSpPr/>
      </xdr:nvSpPr>
      <xdr:spPr>
        <a:xfrm>
          <a:off x="821531" y="23813"/>
          <a:ext cx="1778002" cy="287447"/>
        </a:xfrm>
        <a:prstGeom prst="roundRect">
          <a:avLst/>
        </a:prstGeom>
        <a:solidFill>
          <a:schemeClr val="accent4">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effectLst/>
              <a:latin typeface="HELVETICA" panose="020B0604020202020204" pitchFamily="34" charset="0"/>
              <a:ea typeface="+mn-ea"/>
              <a:cs typeface="HELVETICA" panose="020B0604020202020204" pitchFamily="34" charset="0"/>
            </a:rPr>
            <a:t>Menú Principal</a:t>
          </a:r>
          <a:endParaRPr lang="es-CO" sz="12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728382</xdr:colOff>
      <xdr:row>0</xdr:row>
      <xdr:rowOff>0</xdr:rowOff>
    </xdr:from>
    <xdr:to>
      <xdr:col>0</xdr:col>
      <xdr:colOff>2506384</xdr:colOff>
      <xdr:row>1</xdr:row>
      <xdr:rowOff>63329</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43385166-33ED-4E2B-96F9-BF6DE75370C5}"/>
            </a:ext>
          </a:extLst>
        </xdr:cNvPr>
        <xdr:cNvSpPr/>
      </xdr:nvSpPr>
      <xdr:spPr>
        <a:xfrm>
          <a:off x="728382" y="0"/>
          <a:ext cx="1778002" cy="287447"/>
        </a:xfrm>
        <a:prstGeom prst="roundRect">
          <a:avLst/>
        </a:prstGeom>
        <a:solidFill>
          <a:schemeClr val="accent4">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effectLst/>
              <a:latin typeface="HELVETICA" panose="020B0604020202020204" pitchFamily="34" charset="0"/>
              <a:ea typeface="+mn-ea"/>
              <a:cs typeface="HELVETICA" panose="020B0604020202020204" pitchFamily="34" charset="0"/>
            </a:rPr>
            <a:t>Menú Principal</a:t>
          </a:r>
          <a:endParaRPr lang="es-CO" sz="12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14"/>
  <sheetViews>
    <sheetView zoomScaleNormal="100" zoomScaleSheetLayoutView="80" workbookViewId="0">
      <selection activeCell="E9" sqref="E9"/>
    </sheetView>
  </sheetViews>
  <sheetFormatPr baseColWidth="10" defaultColWidth="11.42578125" defaultRowHeight="12" x14ac:dyDescent="0.2"/>
  <cols>
    <col min="1" max="1" width="15.5703125" style="145" customWidth="1"/>
    <col min="2" max="2" width="105.42578125" style="142" customWidth="1"/>
    <col min="3" max="3" width="15" style="142" customWidth="1"/>
    <col min="4" max="5" width="12.7109375" style="142" bestFit="1" customWidth="1"/>
    <col min="6" max="6" width="13.28515625" style="142" customWidth="1"/>
    <col min="7" max="7" width="11.140625" style="142" bestFit="1" customWidth="1"/>
    <col min="8" max="11" width="11.7109375" style="142" bestFit="1" customWidth="1"/>
    <col min="12" max="12" width="12.7109375" style="142" bestFit="1" customWidth="1"/>
    <col min="13" max="13" width="11.7109375" style="142" bestFit="1" customWidth="1"/>
    <col min="14" max="15" width="12.7109375" style="142" bestFit="1" customWidth="1"/>
    <col min="16" max="17" width="11.7109375" style="142" bestFit="1" customWidth="1"/>
    <col min="18" max="16384" width="11.42578125" style="142"/>
  </cols>
  <sheetData>
    <row r="2" spans="1:2" ht="20.25" customHeight="1" x14ac:dyDescent="0.2">
      <c r="A2" s="319" t="s">
        <v>0</v>
      </c>
      <c r="B2" s="318"/>
    </row>
    <row r="3" spans="1:2" x14ac:dyDescent="0.2">
      <c r="A3" s="318" t="s">
        <v>1</v>
      </c>
      <c r="B3" s="318"/>
    </row>
    <row r="4" spans="1:2" ht="16.5" customHeight="1" x14ac:dyDescent="0.2">
      <c r="A4" s="143"/>
      <c r="B4" s="144"/>
    </row>
    <row r="5" spans="1:2" ht="27.75" customHeight="1" x14ac:dyDescent="0.2">
      <c r="A5" s="146" t="s">
        <v>2</v>
      </c>
      <c r="B5" s="147" t="s">
        <v>3</v>
      </c>
    </row>
    <row r="6" spans="1:2" ht="24.95" customHeight="1" x14ac:dyDescent="0.2">
      <c r="A6" s="72" t="s">
        <v>4</v>
      </c>
      <c r="B6" s="73" t="s">
        <v>5</v>
      </c>
    </row>
    <row r="7" spans="1:2" ht="24.95" customHeight="1" x14ac:dyDescent="0.2">
      <c r="A7" s="74" t="s">
        <v>6</v>
      </c>
      <c r="B7" s="75" t="s">
        <v>7</v>
      </c>
    </row>
    <row r="8" spans="1:2" ht="24.95" customHeight="1" x14ac:dyDescent="0.2">
      <c r="A8" s="74" t="s">
        <v>8</v>
      </c>
      <c r="B8" s="71" t="s">
        <v>9</v>
      </c>
    </row>
    <row r="9" spans="1:2" ht="24.95" customHeight="1" x14ac:dyDescent="0.2">
      <c r="A9" s="74" t="s">
        <v>10</v>
      </c>
      <c r="B9" s="75" t="s">
        <v>11</v>
      </c>
    </row>
    <row r="10" spans="1:2" ht="24.95" customHeight="1" x14ac:dyDescent="0.2">
      <c r="A10" s="74" t="s">
        <v>12</v>
      </c>
      <c r="B10" s="75" t="s">
        <v>13</v>
      </c>
    </row>
    <row r="11" spans="1:2" ht="24.95" customHeight="1" x14ac:dyDescent="0.2">
      <c r="A11" s="74" t="s">
        <v>14</v>
      </c>
      <c r="B11" s="75" t="s">
        <v>15</v>
      </c>
    </row>
    <row r="12" spans="1:2" ht="24.95" customHeight="1" x14ac:dyDescent="0.2">
      <c r="A12" s="74" t="s">
        <v>16</v>
      </c>
      <c r="B12" s="75" t="s">
        <v>17</v>
      </c>
    </row>
    <row r="13" spans="1:2" ht="24.95" customHeight="1" x14ac:dyDescent="0.2">
      <c r="A13" s="74" t="s">
        <v>18</v>
      </c>
      <c r="B13" s="75" t="s">
        <v>19</v>
      </c>
    </row>
    <row r="14" spans="1:2" ht="24.95" customHeight="1" x14ac:dyDescent="0.2">
      <c r="A14" s="76" t="s">
        <v>20</v>
      </c>
      <c r="B14" s="77" t="s">
        <v>21</v>
      </c>
    </row>
  </sheetData>
  <mergeCells count="2">
    <mergeCell ref="A3:B3"/>
    <mergeCell ref="A2:B2"/>
  </mergeCells>
  <pageMargins left="0.7" right="0.7" top="0.75" bottom="0.75" header="0.3" footer="0.3"/>
  <pageSetup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theme="3" tint="-0.249977111117893"/>
  </sheetPr>
  <dimension ref="A1:V225"/>
  <sheetViews>
    <sheetView showGridLines="0" zoomScale="80" zoomScaleNormal="80"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2" sqref="B2"/>
    </sheetView>
  </sheetViews>
  <sheetFormatPr baseColWidth="10" defaultColWidth="15" defaultRowHeight="12" x14ac:dyDescent="0.2"/>
  <cols>
    <col min="1" max="1" width="53.42578125" style="214" customWidth="1"/>
    <col min="2" max="2" width="25.42578125" style="214" customWidth="1"/>
    <col min="3" max="4" width="24.42578125" style="214" customWidth="1"/>
    <col min="5" max="5" width="21.5703125" style="214" customWidth="1"/>
    <col min="6" max="7" width="23" style="214" customWidth="1"/>
    <col min="8" max="8" width="21.85546875" style="214" customWidth="1"/>
    <col min="9" max="10" width="27.7109375" style="214" customWidth="1"/>
    <col min="11" max="11" width="28.85546875" style="214" customWidth="1"/>
    <col min="12" max="13" width="22.28515625" style="214" customWidth="1"/>
    <col min="14" max="14" width="22.7109375" style="214" customWidth="1"/>
    <col min="15" max="15" width="23.140625" style="214" customWidth="1"/>
    <col min="16" max="16" width="26.42578125" style="214" customWidth="1"/>
    <col min="17" max="17" width="23" style="214" customWidth="1"/>
    <col min="18" max="18" width="20.7109375" style="214" bestFit="1" customWidth="1"/>
    <col min="19" max="19" width="19.7109375" style="214" customWidth="1"/>
    <col min="20" max="20" width="24.42578125" style="214" bestFit="1" customWidth="1"/>
    <col min="21" max="21" width="23.42578125" style="214" customWidth="1"/>
    <col min="22" max="22" width="24.42578125" style="214" bestFit="1" customWidth="1"/>
    <col min="23" max="16384" width="15" style="214"/>
  </cols>
  <sheetData>
    <row r="1" spans="1:22" ht="18" x14ac:dyDescent="0.2">
      <c r="B1" s="305" t="s">
        <v>469</v>
      </c>
    </row>
    <row r="2" spans="1:22" x14ac:dyDescent="0.2">
      <c r="A2" s="239"/>
    </row>
    <row r="3" spans="1:22" x14ac:dyDescent="0.2">
      <c r="A3" s="239"/>
      <c r="B3" s="338" t="s">
        <v>192</v>
      </c>
      <c r="C3" s="339"/>
      <c r="D3" s="340"/>
      <c r="E3" s="338" t="s">
        <v>192</v>
      </c>
      <c r="F3" s="339"/>
      <c r="G3" s="340"/>
      <c r="H3" s="338" t="s">
        <v>192</v>
      </c>
      <c r="I3" s="339"/>
      <c r="J3" s="340"/>
      <c r="K3" s="338" t="s">
        <v>192</v>
      </c>
      <c r="L3" s="339"/>
      <c r="M3" s="340"/>
      <c r="N3" s="338" t="s">
        <v>192</v>
      </c>
      <c r="O3" s="339"/>
      <c r="P3" s="340"/>
      <c r="Q3" s="338" t="s">
        <v>192</v>
      </c>
      <c r="R3" s="339"/>
      <c r="S3" s="340"/>
      <c r="T3" s="349" t="s">
        <v>92</v>
      </c>
      <c r="U3" s="350"/>
      <c r="V3" s="350"/>
    </row>
    <row r="4" spans="1:22" s="215" customFormat="1" ht="41.45" customHeight="1" x14ac:dyDescent="0.2">
      <c r="A4" s="239"/>
      <c r="B4" s="344" t="s">
        <v>297</v>
      </c>
      <c r="C4" s="345"/>
      <c r="D4" s="346"/>
      <c r="E4" s="344" t="s">
        <v>439</v>
      </c>
      <c r="F4" s="345"/>
      <c r="G4" s="346"/>
      <c r="H4" s="344" t="s">
        <v>438</v>
      </c>
      <c r="I4" s="345"/>
      <c r="J4" s="346"/>
      <c r="K4" s="344" t="s">
        <v>442</v>
      </c>
      <c r="L4" s="345"/>
      <c r="M4" s="346"/>
      <c r="N4" s="344" t="s">
        <v>441</v>
      </c>
      <c r="O4" s="345"/>
      <c r="P4" s="346"/>
      <c r="Q4" s="344" t="s">
        <v>440</v>
      </c>
      <c r="R4" s="345"/>
      <c r="S4" s="346"/>
      <c r="T4" s="351"/>
      <c r="U4" s="352"/>
      <c r="V4" s="352"/>
    </row>
    <row r="5" spans="1:22" s="250" customFormat="1" x14ac:dyDescent="0.2">
      <c r="A5" s="239"/>
      <c r="B5" s="304">
        <v>2022</v>
      </c>
      <c r="C5" s="304">
        <v>2023</v>
      </c>
      <c r="D5" s="304" t="s">
        <v>436</v>
      </c>
      <c r="E5" s="304">
        <v>2022</v>
      </c>
      <c r="F5" s="304">
        <v>2023</v>
      </c>
      <c r="G5" s="304" t="s">
        <v>436</v>
      </c>
      <c r="H5" s="304">
        <v>2022</v>
      </c>
      <c r="I5" s="304">
        <v>2023</v>
      </c>
      <c r="J5" s="304" t="s">
        <v>436</v>
      </c>
      <c r="K5" s="304">
        <v>2022</v>
      </c>
      <c r="L5" s="304">
        <v>2023</v>
      </c>
      <c r="M5" s="304" t="s">
        <v>436</v>
      </c>
      <c r="N5" s="304">
        <v>2022</v>
      </c>
      <c r="O5" s="304">
        <v>2023</v>
      </c>
      <c r="P5" s="304" t="s">
        <v>436</v>
      </c>
      <c r="Q5" s="304">
        <v>2022</v>
      </c>
      <c r="R5" s="304">
        <v>2023</v>
      </c>
      <c r="S5" s="304" t="s">
        <v>436</v>
      </c>
      <c r="T5" s="304">
        <v>2022</v>
      </c>
      <c r="U5" s="304">
        <v>2023</v>
      </c>
      <c r="V5" s="304" t="s">
        <v>436</v>
      </c>
    </row>
    <row r="6" spans="1:22" s="215" customFormat="1" ht="18" customHeight="1" x14ac:dyDescent="0.2">
      <c r="A6" s="239"/>
      <c r="B6" s="344" t="s">
        <v>246</v>
      </c>
      <c r="C6" s="345"/>
      <c r="D6" s="346"/>
      <c r="E6" s="341" t="s">
        <v>246</v>
      </c>
      <c r="F6" s="342"/>
      <c r="G6" s="343"/>
      <c r="H6" s="344" t="s">
        <v>246</v>
      </c>
      <c r="I6" s="345"/>
      <c r="J6" s="346"/>
      <c r="K6" s="344" t="s">
        <v>246</v>
      </c>
      <c r="L6" s="345"/>
      <c r="M6" s="346"/>
      <c r="N6" s="344" t="s">
        <v>246</v>
      </c>
      <c r="O6" s="345"/>
      <c r="P6" s="346"/>
      <c r="Q6" s="344" t="s">
        <v>246</v>
      </c>
      <c r="R6" s="345"/>
      <c r="S6" s="346"/>
      <c r="T6" s="347" t="s">
        <v>246</v>
      </c>
      <c r="U6" s="348"/>
      <c r="V6" s="348"/>
    </row>
    <row r="7" spans="1:22" s="216" customFormat="1" ht="15" x14ac:dyDescent="0.2">
      <c r="A7" s="306" t="s">
        <v>39</v>
      </c>
      <c r="B7" s="253"/>
      <c r="C7" s="254"/>
      <c r="D7" s="254"/>
      <c r="E7" s="253"/>
      <c r="F7" s="254"/>
      <c r="G7" s="254"/>
      <c r="H7" s="253"/>
      <c r="I7" s="254"/>
      <c r="J7" s="254"/>
      <c r="K7" s="253"/>
      <c r="L7" s="254"/>
      <c r="M7" s="254"/>
      <c r="N7" s="253"/>
      <c r="O7" s="254"/>
      <c r="P7" s="254"/>
      <c r="Q7" s="253"/>
      <c r="R7" s="254"/>
      <c r="S7" s="254"/>
      <c r="T7" s="253"/>
      <c r="U7" s="254"/>
      <c r="V7" s="254"/>
    </row>
    <row r="8" spans="1:22" s="216" customFormat="1" x14ac:dyDescent="0.2">
      <c r="B8" s="209"/>
      <c r="C8" s="211"/>
      <c r="D8" s="211"/>
      <c r="E8" s="209"/>
      <c r="F8" s="211"/>
      <c r="G8" s="211"/>
      <c r="H8" s="209"/>
      <c r="I8" s="211"/>
      <c r="J8" s="211"/>
      <c r="K8" s="209"/>
      <c r="L8" s="211"/>
      <c r="M8" s="211"/>
      <c r="N8" s="209"/>
      <c r="O8" s="211"/>
      <c r="P8" s="211"/>
      <c r="Q8" s="209"/>
      <c r="R8" s="211"/>
      <c r="S8" s="211"/>
      <c r="T8" s="209"/>
      <c r="U8" s="211"/>
      <c r="V8" s="211"/>
    </row>
    <row r="9" spans="1:22" s="216" customFormat="1" x14ac:dyDescent="0.2">
      <c r="A9" s="218" t="s">
        <v>40</v>
      </c>
      <c r="B9" s="209"/>
      <c r="C9" s="211"/>
      <c r="D9" s="211"/>
      <c r="E9" s="209"/>
      <c r="F9" s="211"/>
      <c r="G9" s="211"/>
      <c r="H9" s="209"/>
      <c r="I9" s="211"/>
      <c r="J9" s="211"/>
      <c r="K9" s="209"/>
      <c r="L9" s="211"/>
      <c r="M9" s="211"/>
      <c r="N9" s="209"/>
      <c r="O9" s="211"/>
      <c r="P9" s="211"/>
      <c r="Q9" s="209"/>
      <c r="R9" s="211"/>
      <c r="S9" s="211"/>
      <c r="T9" s="209"/>
      <c r="U9" s="211"/>
      <c r="V9" s="211"/>
    </row>
    <row r="10" spans="1:22" x14ac:dyDescent="0.2">
      <c r="A10" s="214" t="s">
        <v>41</v>
      </c>
      <c r="B10" s="222">
        <v>4164545964000</v>
      </c>
      <c r="C10" s="213">
        <v>4750844326000</v>
      </c>
      <c r="D10" s="213">
        <v>3717381190000</v>
      </c>
      <c r="E10" s="209">
        <v>924846233000</v>
      </c>
      <c r="F10" s="213">
        <v>1050873227000</v>
      </c>
      <c r="G10" s="213">
        <v>880334408000</v>
      </c>
      <c r="H10" s="209">
        <v>303966779000</v>
      </c>
      <c r="I10" s="213">
        <v>256024917000</v>
      </c>
      <c r="J10" s="213">
        <v>318606172000</v>
      </c>
      <c r="K10" s="209">
        <v>208554442000</v>
      </c>
      <c r="L10" s="213">
        <v>198127313000</v>
      </c>
      <c r="M10" s="213">
        <v>198799372000</v>
      </c>
      <c r="N10" s="209">
        <v>111912000000</v>
      </c>
      <c r="O10" s="213">
        <v>119126000000</v>
      </c>
      <c r="P10" s="213">
        <v>258238464368</v>
      </c>
      <c r="Q10" s="209">
        <f>72564699*1000</f>
        <v>72564699000</v>
      </c>
      <c r="R10" s="213">
        <f>93250250*1000</f>
        <v>93250250000</v>
      </c>
      <c r="S10" s="213">
        <v>56251918000</v>
      </c>
      <c r="T10" s="209">
        <f t="shared" ref="T10:V11" si="0">+SUM(H10+E10+B10+Q10+N10+K10)</f>
        <v>5786390117000</v>
      </c>
      <c r="U10" s="209">
        <f t="shared" si="0"/>
        <v>6468246033000</v>
      </c>
      <c r="V10" s="209">
        <f t="shared" si="0"/>
        <v>5429611524368</v>
      </c>
    </row>
    <row r="11" spans="1:22" x14ac:dyDescent="0.2">
      <c r="A11" s="214" t="s">
        <v>42</v>
      </c>
      <c r="B11" s="222">
        <v>13722425274000</v>
      </c>
      <c r="C11" s="213">
        <v>14187166367000</v>
      </c>
      <c r="D11" s="213">
        <v>15909013537000</v>
      </c>
      <c r="E11" s="213">
        <v>16735590000</v>
      </c>
      <c r="F11" s="213">
        <v>20416358000</v>
      </c>
      <c r="G11" s="213">
        <v>20654130000</v>
      </c>
      <c r="H11" s="213">
        <v>505789358000</v>
      </c>
      <c r="I11" s="213">
        <v>324863106000</v>
      </c>
      <c r="J11" s="213">
        <v>308755982000</v>
      </c>
      <c r="K11" s="213">
        <v>485117377000</v>
      </c>
      <c r="L11" s="213">
        <v>407705021000</v>
      </c>
      <c r="M11" s="213">
        <v>403614290000</v>
      </c>
      <c r="N11" s="213">
        <v>166669000000</v>
      </c>
      <c r="O11" s="213">
        <v>155636000000</v>
      </c>
      <c r="P11" s="213">
        <v>266156640279</v>
      </c>
      <c r="Q11" s="213">
        <f>10337846*1000</f>
        <v>10337846000</v>
      </c>
      <c r="R11" s="213">
        <f>10146016*1000</f>
        <v>10146016000</v>
      </c>
      <c r="S11" s="213">
        <v>18478296000</v>
      </c>
      <c r="T11" s="209">
        <f t="shared" si="0"/>
        <v>14907074445000</v>
      </c>
      <c r="U11" s="209">
        <f t="shared" si="0"/>
        <v>15105932868000</v>
      </c>
      <c r="V11" s="209">
        <f t="shared" si="0"/>
        <v>16926672875279</v>
      </c>
    </row>
    <row r="12" spans="1:22" s="224" customFormat="1" x14ac:dyDescent="0.2">
      <c r="A12" s="311" t="s">
        <v>43</v>
      </c>
      <c r="B12" s="312">
        <f t="shared" ref="B12:G12" si="1">+B10+B11</f>
        <v>17886971238000</v>
      </c>
      <c r="C12" s="312">
        <f t="shared" si="1"/>
        <v>18938010693000</v>
      </c>
      <c r="D12" s="312">
        <f t="shared" si="1"/>
        <v>19626394727000</v>
      </c>
      <c r="E12" s="312">
        <f t="shared" si="1"/>
        <v>941581823000</v>
      </c>
      <c r="F12" s="312">
        <f t="shared" si="1"/>
        <v>1071289585000</v>
      </c>
      <c r="G12" s="312">
        <f t="shared" si="1"/>
        <v>900988538000</v>
      </c>
      <c r="H12" s="312">
        <f t="shared" ref="H12:U12" si="2">+H10+H11</f>
        <v>809756137000</v>
      </c>
      <c r="I12" s="312">
        <f t="shared" si="2"/>
        <v>580888023000</v>
      </c>
      <c r="J12" s="312">
        <f t="shared" si="2"/>
        <v>627362154000</v>
      </c>
      <c r="K12" s="312">
        <f t="shared" ref="K12:M12" si="3">+K10+K11</f>
        <v>693671819000</v>
      </c>
      <c r="L12" s="312">
        <f t="shared" si="3"/>
        <v>605832334000</v>
      </c>
      <c r="M12" s="312">
        <f t="shared" si="3"/>
        <v>602413662000</v>
      </c>
      <c r="N12" s="312">
        <f t="shared" ref="N12:P12" si="4">+N10+N11</f>
        <v>278581000000</v>
      </c>
      <c r="O12" s="312">
        <f t="shared" si="4"/>
        <v>274762000000</v>
      </c>
      <c r="P12" s="312">
        <f t="shared" si="4"/>
        <v>524395104647</v>
      </c>
      <c r="Q12" s="312">
        <f t="shared" si="2"/>
        <v>82902545000</v>
      </c>
      <c r="R12" s="312">
        <f t="shared" si="2"/>
        <v>103396266000</v>
      </c>
      <c r="S12" s="312">
        <f t="shared" si="2"/>
        <v>74730214000</v>
      </c>
      <c r="T12" s="312">
        <f t="shared" si="2"/>
        <v>20693464562000</v>
      </c>
      <c r="U12" s="312">
        <f t="shared" si="2"/>
        <v>21574178901000</v>
      </c>
      <c r="V12" s="312">
        <f t="shared" ref="V12" si="5">+V10+V11</f>
        <v>22356284399647</v>
      </c>
    </row>
    <row r="13" spans="1:22" x14ac:dyDescent="0.2">
      <c r="A13" s="218" t="s">
        <v>44</v>
      </c>
      <c r="B13" s="219"/>
      <c r="C13" s="211"/>
      <c r="D13" s="211"/>
      <c r="E13" s="211"/>
      <c r="F13" s="211"/>
      <c r="G13" s="211"/>
      <c r="H13" s="211"/>
      <c r="I13" s="211"/>
      <c r="J13" s="211"/>
      <c r="K13" s="211"/>
      <c r="L13" s="211"/>
      <c r="M13" s="211"/>
      <c r="N13" s="211"/>
      <c r="O13" s="211"/>
      <c r="P13" s="211"/>
      <c r="Q13" s="211"/>
      <c r="R13" s="211"/>
      <c r="S13" s="211"/>
      <c r="T13" s="211"/>
      <c r="U13" s="211"/>
      <c r="V13" s="211"/>
    </row>
    <row r="14" spans="1:22" x14ac:dyDescent="0.2">
      <c r="A14" s="214" t="s">
        <v>45</v>
      </c>
      <c r="B14" s="222">
        <v>10308873170000</v>
      </c>
      <c r="C14" s="213">
        <v>9524338678000</v>
      </c>
      <c r="D14" s="213">
        <v>9479657323000</v>
      </c>
      <c r="E14" s="213">
        <v>1424364780000</v>
      </c>
      <c r="F14" s="213">
        <v>1037054928000</v>
      </c>
      <c r="G14" s="213">
        <v>844542989000</v>
      </c>
      <c r="H14" s="213">
        <v>544935559000</v>
      </c>
      <c r="I14" s="213">
        <v>381554843000</v>
      </c>
      <c r="J14" s="213">
        <v>449955537000</v>
      </c>
      <c r="K14" s="213">
        <v>79091683000</v>
      </c>
      <c r="L14" s="213">
        <v>88668985000</v>
      </c>
      <c r="M14" s="213">
        <v>137724521000</v>
      </c>
      <c r="N14" s="213">
        <v>87786000000</v>
      </c>
      <c r="O14" s="213">
        <v>96829000000</v>
      </c>
      <c r="P14" s="213">
        <v>153880333496</v>
      </c>
      <c r="Q14" s="213">
        <f>135780557*1000</f>
        <v>135780557000</v>
      </c>
      <c r="R14" s="213">
        <f>139422536*1000</f>
        <v>139422536000</v>
      </c>
      <c r="S14" s="213">
        <v>121166905000</v>
      </c>
      <c r="T14" s="209">
        <f t="shared" ref="T14:V15" si="6">+SUM(H14+E14+B14+Q14+N14+K14)</f>
        <v>12580831749000</v>
      </c>
      <c r="U14" s="209">
        <f t="shared" si="6"/>
        <v>11267868970000</v>
      </c>
      <c r="V14" s="209">
        <f t="shared" si="6"/>
        <v>11186927608496</v>
      </c>
    </row>
    <row r="15" spans="1:22" x14ac:dyDescent="0.2">
      <c r="A15" s="226" t="s">
        <v>46</v>
      </c>
      <c r="B15" s="222">
        <v>9024779254000</v>
      </c>
      <c r="C15" s="213">
        <v>10520556255000</v>
      </c>
      <c r="D15" s="213">
        <v>11622957263000</v>
      </c>
      <c r="E15" s="213">
        <v>10876565000</v>
      </c>
      <c r="F15" s="213">
        <v>10990539000</v>
      </c>
      <c r="G15" s="213">
        <v>11076119000</v>
      </c>
      <c r="H15" s="213">
        <v>278264130000</v>
      </c>
      <c r="I15" s="213">
        <v>162276455000</v>
      </c>
      <c r="J15" s="213">
        <v>143233277000</v>
      </c>
      <c r="K15" s="213">
        <v>486549404000</v>
      </c>
      <c r="L15" s="213">
        <v>400119933000</v>
      </c>
      <c r="M15" s="213">
        <v>376849841000</v>
      </c>
      <c r="N15" s="213">
        <v>182342000000</v>
      </c>
      <c r="O15" s="213">
        <v>163568000000</v>
      </c>
      <c r="P15" s="213">
        <v>200128376198</v>
      </c>
      <c r="Q15" s="213">
        <f>6580974*1000</f>
        <v>6580974000</v>
      </c>
      <c r="R15" s="213">
        <f>34130901*1000</f>
        <v>34130901000</v>
      </c>
      <c r="S15" s="213">
        <v>26750006000</v>
      </c>
      <c r="T15" s="209">
        <f t="shared" si="6"/>
        <v>9989392327000</v>
      </c>
      <c r="U15" s="209">
        <f t="shared" si="6"/>
        <v>11291642083000</v>
      </c>
      <c r="V15" s="209">
        <f t="shared" si="6"/>
        <v>12380994882198</v>
      </c>
    </row>
    <row r="16" spans="1:22" s="224" customFormat="1" x14ac:dyDescent="0.2">
      <c r="A16" s="311" t="s">
        <v>47</v>
      </c>
      <c r="B16" s="313">
        <f>SUM(B14:B15)</f>
        <v>19333652424000</v>
      </c>
      <c r="C16" s="312">
        <f t="shared" ref="C16:U16" si="7">+C14+C15</f>
        <v>20044894933000</v>
      </c>
      <c r="D16" s="312">
        <f t="shared" si="7"/>
        <v>21102614586000</v>
      </c>
      <c r="E16" s="312">
        <f t="shared" si="7"/>
        <v>1435241345000</v>
      </c>
      <c r="F16" s="312">
        <f t="shared" si="7"/>
        <v>1048045467000</v>
      </c>
      <c r="G16" s="312">
        <f t="shared" si="7"/>
        <v>855619108000</v>
      </c>
      <c r="H16" s="312">
        <f t="shared" si="7"/>
        <v>823199689000</v>
      </c>
      <c r="I16" s="312">
        <f t="shared" si="7"/>
        <v>543831298000</v>
      </c>
      <c r="J16" s="312">
        <f t="shared" si="7"/>
        <v>593188814000</v>
      </c>
      <c r="K16" s="312">
        <f t="shared" si="7"/>
        <v>565641087000</v>
      </c>
      <c r="L16" s="312">
        <f t="shared" si="7"/>
        <v>488788918000</v>
      </c>
      <c r="M16" s="312">
        <f t="shared" si="7"/>
        <v>514574362000</v>
      </c>
      <c r="N16" s="312">
        <f t="shared" si="7"/>
        <v>270128000000</v>
      </c>
      <c r="O16" s="312">
        <f t="shared" si="7"/>
        <v>260397000000</v>
      </c>
      <c r="P16" s="312">
        <f t="shared" si="7"/>
        <v>354008709694</v>
      </c>
      <c r="Q16" s="312">
        <f t="shared" si="7"/>
        <v>142361531000</v>
      </c>
      <c r="R16" s="312">
        <f t="shared" si="7"/>
        <v>173553437000</v>
      </c>
      <c r="S16" s="312">
        <f t="shared" si="7"/>
        <v>147916911000</v>
      </c>
      <c r="T16" s="312">
        <f t="shared" si="7"/>
        <v>22570224076000</v>
      </c>
      <c r="U16" s="312">
        <f t="shared" si="7"/>
        <v>22559511053000</v>
      </c>
      <c r="V16" s="312">
        <f t="shared" ref="V16" si="8">+V14+V15</f>
        <v>23567922490694</v>
      </c>
    </row>
    <row r="17" spans="1:22" x14ac:dyDescent="0.2">
      <c r="A17" s="218" t="s">
        <v>48</v>
      </c>
      <c r="B17" s="220"/>
      <c r="C17" s="209"/>
      <c r="D17" s="209"/>
      <c r="E17" s="209"/>
      <c r="F17" s="209"/>
      <c r="G17" s="209"/>
      <c r="H17" s="209"/>
      <c r="I17" s="209"/>
      <c r="J17" s="209"/>
      <c r="K17" s="209"/>
      <c r="L17" s="209"/>
      <c r="M17" s="209"/>
      <c r="N17" s="209"/>
      <c r="O17" s="209"/>
      <c r="P17" s="209"/>
      <c r="Q17" s="209"/>
      <c r="R17" s="209"/>
      <c r="S17" s="209"/>
      <c r="T17" s="209"/>
      <c r="U17" s="209"/>
      <c r="V17" s="209"/>
    </row>
    <row r="18" spans="1:22" x14ac:dyDescent="0.2">
      <c r="A18" s="214" t="s">
        <v>94</v>
      </c>
      <c r="B18" s="219">
        <v>2604329245000</v>
      </c>
      <c r="C18" s="230">
        <v>2604329245000</v>
      </c>
      <c r="D18" s="230">
        <v>2604329245000</v>
      </c>
      <c r="E18" s="213">
        <f>5251558000-10000</f>
        <v>5251548000</v>
      </c>
      <c r="F18" s="213">
        <f>5251548000+10000</f>
        <v>5251558000</v>
      </c>
      <c r="G18" s="213">
        <f>5251568000</f>
        <v>5251568000</v>
      </c>
      <c r="H18" s="213">
        <v>7479681000</v>
      </c>
      <c r="I18" s="213">
        <v>7479681000</v>
      </c>
      <c r="J18" s="213">
        <v>7479681000</v>
      </c>
      <c r="K18" s="213">
        <v>9587670000</v>
      </c>
      <c r="L18" s="213">
        <v>9587670000</v>
      </c>
      <c r="M18" s="213">
        <v>9587670000</v>
      </c>
      <c r="N18" s="213">
        <v>76182000000</v>
      </c>
      <c r="O18" s="213">
        <v>76182000000</v>
      </c>
      <c r="P18" s="213">
        <v>233115340497</v>
      </c>
      <c r="Q18" s="213">
        <f>(5800000+368800)*1000</f>
        <v>6168800000</v>
      </c>
      <c r="R18" s="213">
        <f>(5800000+368800)*1000</f>
        <v>6168800000</v>
      </c>
      <c r="S18" s="213">
        <f>(5800000+368800)*1000</f>
        <v>6168800000</v>
      </c>
      <c r="T18" s="209">
        <f t="shared" ref="T18:T31" si="9">+SUM(H18+E18+B18+Q18+N18+K18)</f>
        <v>2708998944000</v>
      </c>
      <c r="U18" s="209">
        <f t="shared" ref="U18:V31" si="10">+SUM(I18+F18+C18+R18+O18+L18)</f>
        <v>2708998954000</v>
      </c>
      <c r="V18" s="209">
        <f t="shared" si="10"/>
        <v>2865932304497</v>
      </c>
    </row>
    <row r="19" spans="1:22" x14ac:dyDescent="0.2">
      <c r="A19" s="214" t="s">
        <v>182</v>
      </c>
      <c r="B19" s="219"/>
      <c r="C19" s="230"/>
      <c r="D19" s="230"/>
      <c r="E19" s="213"/>
      <c r="F19" s="213"/>
      <c r="G19" s="213"/>
      <c r="H19" s="213"/>
      <c r="I19" s="213"/>
      <c r="J19" s="213"/>
      <c r="K19" s="213"/>
      <c r="L19" s="213"/>
      <c r="M19" s="213"/>
      <c r="N19" s="213"/>
      <c r="O19" s="213"/>
      <c r="P19" s="213"/>
      <c r="Q19" s="213"/>
      <c r="R19" s="213"/>
      <c r="S19" s="213"/>
      <c r="T19" s="209">
        <f t="shared" si="9"/>
        <v>0</v>
      </c>
      <c r="U19" s="209">
        <f t="shared" si="10"/>
        <v>0</v>
      </c>
      <c r="V19" s="209">
        <f t="shared" si="10"/>
        <v>0</v>
      </c>
    </row>
    <row r="20" spans="1:22" x14ac:dyDescent="0.2">
      <c r="A20" s="214" t="s">
        <v>181</v>
      </c>
      <c r="B20" s="219"/>
      <c r="C20" s="230"/>
      <c r="D20" s="230"/>
      <c r="E20" s="213"/>
      <c r="F20" s="213"/>
      <c r="G20" s="213"/>
      <c r="H20" s="213"/>
      <c r="I20" s="213"/>
      <c r="J20" s="213"/>
      <c r="K20" s="213"/>
      <c r="L20" s="213"/>
      <c r="M20" s="213"/>
      <c r="N20" s="213"/>
      <c r="O20" s="213"/>
      <c r="P20" s="213"/>
      <c r="Q20" s="213"/>
      <c r="R20" s="213"/>
      <c r="S20" s="213"/>
      <c r="T20" s="209">
        <f t="shared" si="9"/>
        <v>0</v>
      </c>
      <c r="U20" s="209">
        <f t="shared" si="10"/>
        <v>0</v>
      </c>
      <c r="V20" s="209">
        <f t="shared" si="10"/>
        <v>0</v>
      </c>
    </row>
    <row r="21" spans="1:22" s="216" customFormat="1" x14ac:dyDescent="0.2">
      <c r="A21" s="214" t="s">
        <v>50</v>
      </c>
      <c r="B21" s="220"/>
      <c r="C21" s="231"/>
      <c r="D21" s="231"/>
      <c r="E21" s="213">
        <v>1062265000</v>
      </c>
      <c r="F21" s="213">
        <v>1062265000</v>
      </c>
      <c r="G21" s="213">
        <v>1062265000</v>
      </c>
      <c r="H21" s="213">
        <v>5000000000</v>
      </c>
      <c r="I21" s="213">
        <v>5000000000</v>
      </c>
      <c r="J21" s="213">
        <v>5000000000</v>
      </c>
      <c r="K21" s="213">
        <v>8704317000</v>
      </c>
      <c r="L21" s="213">
        <v>8704317000</v>
      </c>
      <c r="M21" s="213">
        <v>8704317000</v>
      </c>
      <c r="N21" s="213">
        <v>1392000000</v>
      </c>
      <c r="O21" s="213">
        <v>1392000000</v>
      </c>
      <c r="P21" s="213">
        <v>1500197218</v>
      </c>
      <c r="Q21" s="213"/>
      <c r="R21" s="213"/>
      <c r="S21" s="213"/>
      <c r="T21" s="209">
        <f t="shared" si="9"/>
        <v>16158582000</v>
      </c>
      <c r="U21" s="209">
        <f t="shared" si="10"/>
        <v>16158582000</v>
      </c>
      <c r="V21" s="209">
        <f t="shared" si="10"/>
        <v>16266779218</v>
      </c>
    </row>
    <row r="22" spans="1:22" s="216" customFormat="1" x14ac:dyDescent="0.2">
      <c r="A22" s="214" t="s">
        <v>95</v>
      </c>
      <c r="B22" s="220"/>
      <c r="C22" s="231"/>
      <c r="D22" s="231"/>
      <c r="E22" s="213"/>
      <c r="F22" s="213"/>
      <c r="G22" s="213"/>
      <c r="H22" s="213"/>
      <c r="I22" s="213"/>
      <c r="J22" s="213"/>
      <c r="K22" s="213"/>
      <c r="L22" s="213"/>
      <c r="M22" s="213"/>
      <c r="N22" s="213"/>
      <c r="O22" s="213"/>
      <c r="P22" s="213"/>
      <c r="Q22" s="213"/>
      <c r="R22" s="213"/>
      <c r="S22" s="213"/>
      <c r="T22" s="209">
        <f t="shared" si="9"/>
        <v>0</v>
      </c>
      <c r="U22" s="209">
        <f t="shared" si="10"/>
        <v>0</v>
      </c>
      <c r="V22" s="209">
        <f t="shared" si="10"/>
        <v>0</v>
      </c>
    </row>
    <row r="23" spans="1:22" x14ac:dyDescent="0.2">
      <c r="A23" s="214" t="s">
        <v>51</v>
      </c>
      <c r="B23" s="220">
        <v>409494173000</v>
      </c>
      <c r="C23" s="222">
        <v>751221972000</v>
      </c>
      <c r="D23" s="222">
        <v>632590361000</v>
      </c>
      <c r="E23" s="209"/>
      <c r="F23" s="209"/>
      <c r="G23" s="209"/>
      <c r="H23" s="209"/>
      <c r="I23" s="209"/>
      <c r="J23" s="209"/>
      <c r="K23" s="209"/>
      <c r="L23" s="209"/>
      <c r="M23" s="209"/>
      <c r="N23" s="209"/>
      <c r="O23" s="209"/>
      <c r="P23" s="209"/>
      <c r="Q23" s="209"/>
      <c r="R23" s="209"/>
      <c r="S23" s="209">
        <v>-7702488000</v>
      </c>
      <c r="T23" s="209">
        <f t="shared" si="9"/>
        <v>409494173000</v>
      </c>
      <c r="U23" s="209">
        <f t="shared" si="10"/>
        <v>751221972000</v>
      </c>
      <c r="V23" s="209">
        <f t="shared" si="10"/>
        <v>624887873000</v>
      </c>
    </row>
    <row r="24" spans="1:22" s="216" customFormat="1" x14ac:dyDescent="0.2">
      <c r="A24" s="214" t="s">
        <v>52</v>
      </c>
      <c r="B24" s="220">
        <v>8936703000</v>
      </c>
      <c r="C24" s="222">
        <v>8936703000</v>
      </c>
      <c r="D24" s="222">
        <v>8936703000</v>
      </c>
      <c r="E24" s="209">
        <v>1142643936000</v>
      </c>
      <c r="F24" s="209">
        <v>1719509708000</v>
      </c>
      <c r="G24" s="209">
        <v>1896743887000</v>
      </c>
      <c r="H24" s="209">
        <v>152232359000</v>
      </c>
      <c r="I24" s="209">
        <v>152232359000</v>
      </c>
      <c r="J24" s="209">
        <v>152232359000</v>
      </c>
      <c r="K24" s="209">
        <v>35765254000</v>
      </c>
      <c r="L24" s="209">
        <v>35765254000</v>
      </c>
      <c r="M24" s="209">
        <v>35765254000</v>
      </c>
      <c r="N24" s="209"/>
      <c r="O24" s="209"/>
      <c r="P24" s="209"/>
      <c r="Q24" s="209"/>
      <c r="R24" s="209"/>
      <c r="S24" s="209"/>
      <c r="T24" s="209">
        <f t="shared" si="9"/>
        <v>1339578252000</v>
      </c>
      <c r="U24" s="209">
        <f t="shared" si="10"/>
        <v>1916444024000</v>
      </c>
      <c r="V24" s="209">
        <f t="shared" si="10"/>
        <v>2093678203000</v>
      </c>
    </row>
    <row r="25" spans="1:22" s="216" customFormat="1" x14ac:dyDescent="0.2">
      <c r="A25" s="214" t="s">
        <v>53</v>
      </c>
      <c r="B25" s="220"/>
      <c r="C25" s="211"/>
      <c r="D25" s="211"/>
      <c r="E25" s="211"/>
      <c r="F25" s="211"/>
      <c r="G25" s="211"/>
      <c r="H25" s="211"/>
      <c r="I25" s="211"/>
      <c r="J25" s="211"/>
      <c r="K25" s="211"/>
      <c r="L25" s="211"/>
      <c r="M25" s="211"/>
      <c r="N25" s="211"/>
      <c r="O25" s="211"/>
      <c r="P25" s="211"/>
      <c r="Q25" s="211">
        <f>-15405045*1000</f>
        <v>-15405045000</v>
      </c>
      <c r="R25" s="211">
        <f>-1610140*1000</f>
        <v>-1610140000</v>
      </c>
      <c r="S25" s="211"/>
      <c r="T25" s="209">
        <f t="shared" si="9"/>
        <v>-15405045000</v>
      </c>
      <c r="U25" s="209">
        <f t="shared" si="10"/>
        <v>-1610140000</v>
      </c>
      <c r="V25" s="209">
        <f t="shared" si="10"/>
        <v>0</v>
      </c>
    </row>
    <row r="26" spans="1:22" x14ac:dyDescent="0.2">
      <c r="A26" s="214" t="s">
        <v>54</v>
      </c>
      <c r="B26" s="220"/>
      <c r="C26" s="213"/>
      <c r="D26" s="213"/>
      <c r="E26" s="213"/>
      <c r="F26" s="209"/>
      <c r="G26" s="209">
        <v>-155108877000</v>
      </c>
      <c r="H26" s="213"/>
      <c r="I26" s="213"/>
      <c r="J26" s="213">
        <v>-8110351000</v>
      </c>
      <c r="K26" s="213">
        <v>3565428000</v>
      </c>
      <c r="L26" s="213">
        <v>39138385000</v>
      </c>
      <c r="M26" s="213">
        <v>-5674566000</v>
      </c>
      <c r="N26" s="213">
        <v>-2155000000</v>
      </c>
      <c r="O26" s="213">
        <v>1080000000</v>
      </c>
      <c r="P26" s="213">
        <v>-911832651</v>
      </c>
      <c r="Q26" s="213">
        <f>-11856658*1000</f>
        <v>-11856658000</v>
      </c>
      <c r="R26" s="213">
        <f>-24493090*1000</f>
        <v>-24493090000</v>
      </c>
      <c r="S26" s="213"/>
      <c r="T26" s="209">
        <f t="shared" si="9"/>
        <v>-10446230000</v>
      </c>
      <c r="U26" s="209">
        <f t="shared" si="10"/>
        <v>15725295000</v>
      </c>
      <c r="V26" s="209">
        <f t="shared" si="10"/>
        <v>-169805626651</v>
      </c>
    </row>
    <row r="27" spans="1:22" x14ac:dyDescent="0.2">
      <c r="A27" s="214" t="s">
        <v>55</v>
      </c>
      <c r="B27" s="220">
        <v>-4200745209000</v>
      </c>
      <c r="C27" s="213">
        <v>-3976012621000</v>
      </c>
      <c r="D27" s="213">
        <v>-5046304316000</v>
      </c>
      <c r="E27" s="213">
        <v>-1642617271000</v>
      </c>
      <c r="F27" s="213">
        <v>-1702579413000</v>
      </c>
      <c r="G27" s="213">
        <v>-1702579413000</v>
      </c>
      <c r="H27" s="213">
        <v>-192777623000</v>
      </c>
      <c r="I27" s="213">
        <v>-133272426000</v>
      </c>
      <c r="J27" s="213">
        <v>-133272426000</v>
      </c>
      <c r="K27" s="213">
        <v>-119208087000</v>
      </c>
      <c r="L27" s="213">
        <v>-115642660000</v>
      </c>
      <c r="M27" s="213">
        <f>+L27+L26</f>
        <v>-76504275000</v>
      </c>
      <c r="N27" s="213">
        <v>-66013000000</v>
      </c>
      <c r="O27" s="213">
        <v>-68716000000</v>
      </c>
      <c r="P27" s="213">
        <v>-67744380435</v>
      </c>
      <c r="Q27" s="213">
        <f>-38366083*1000</f>
        <v>-38366083000</v>
      </c>
      <c r="R27" s="213">
        <f>-50222741*1000</f>
        <v>-50222741000</v>
      </c>
      <c r="S27" s="213">
        <v>-71653009000</v>
      </c>
      <c r="T27" s="209">
        <f t="shared" si="9"/>
        <v>-6259727273000</v>
      </c>
      <c r="U27" s="209">
        <f t="shared" si="10"/>
        <v>-6046445861000</v>
      </c>
      <c r="V27" s="209">
        <f t="shared" si="10"/>
        <v>-7098057819435</v>
      </c>
    </row>
    <row r="28" spans="1:22" x14ac:dyDescent="0.2">
      <c r="A28" s="214" t="s">
        <v>56</v>
      </c>
      <c r="B28" s="220"/>
      <c r="C28" s="213"/>
      <c r="D28" s="213"/>
      <c r="E28" s="213"/>
      <c r="F28" s="213"/>
      <c r="G28" s="213"/>
      <c r="H28" s="213"/>
      <c r="I28" s="213"/>
      <c r="J28" s="213"/>
      <c r="K28" s="213">
        <v>-10156668000</v>
      </c>
      <c r="L28" s="213">
        <v>-10156668000</v>
      </c>
      <c r="M28" s="213">
        <v>-10156668000</v>
      </c>
      <c r="N28" s="213"/>
      <c r="O28" s="213"/>
      <c r="P28" s="213"/>
      <c r="Q28" s="213"/>
      <c r="R28" s="213"/>
      <c r="S28" s="213"/>
      <c r="T28" s="209">
        <f t="shared" si="9"/>
        <v>-10156668000</v>
      </c>
      <c r="U28" s="209">
        <f t="shared" si="10"/>
        <v>-10156668000</v>
      </c>
      <c r="V28" s="209">
        <f t="shared" si="10"/>
        <v>-10156668000</v>
      </c>
    </row>
    <row r="29" spans="1:22" x14ac:dyDescent="0.2">
      <c r="A29" s="214" t="s">
        <v>57</v>
      </c>
      <c r="B29" s="220"/>
      <c r="C29" s="209"/>
      <c r="D29" s="209"/>
      <c r="E29" s="209"/>
      <c r="F29" s="209"/>
      <c r="G29" s="209"/>
      <c r="H29" s="209"/>
      <c r="I29" s="209"/>
      <c r="J29" s="209"/>
      <c r="K29" s="209"/>
      <c r="L29" s="209"/>
      <c r="M29" s="209"/>
      <c r="N29" s="209"/>
      <c r="O29" s="209"/>
      <c r="P29" s="209"/>
      <c r="Q29" s="209"/>
      <c r="R29" s="209"/>
      <c r="S29" s="209"/>
      <c r="T29" s="209">
        <f t="shared" si="9"/>
        <v>0</v>
      </c>
      <c r="U29" s="209">
        <f t="shared" si="10"/>
        <v>0</v>
      </c>
      <c r="V29" s="209">
        <f t="shared" si="10"/>
        <v>0</v>
      </c>
    </row>
    <row r="30" spans="1:22" x14ac:dyDescent="0.2">
      <c r="A30" s="214" t="s">
        <v>96</v>
      </c>
      <c r="B30" s="220"/>
      <c r="C30" s="213"/>
      <c r="D30" s="213"/>
      <c r="E30" s="213"/>
      <c r="F30" s="213"/>
      <c r="G30" s="213"/>
      <c r="H30" s="213">
        <v>14622031000</v>
      </c>
      <c r="I30" s="213">
        <v>5617111000</v>
      </c>
      <c r="J30" s="213"/>
      <c r="K30" s="213">
        <v>199772818000</v>
      </c>
      <c r="L30" s="213">
        <v>149647118000</v>
      </c>
      <c r="M30" s="213">
        <v>126117568000</v>
      </c>
      <c r="N30" s="213"/>
      <c r="O30" s="213"/>
      <c r="P30" s="213"/>
      <c r="Q30" s="213"/>
      <c r="R30" s="213"/>
      <c r="S30" s="213"/>
      <c r="T30" s="209">
        <f t="shared" si="9"/>
        <v>214394849000</v>
      </c>
      <c r="U30" s="209">
        <f t="shared" si="10"/>
        <v>155264229000</v>
      </c>
      <c r="V30" s="209">
        <f t="shared" si="10"/>
        <v>126117568000</v>
      </c>
    </row>
    <row r="31" spans="1:22" x14ac:dyDescent="0.2">
      <c r="A31" s="214" t="s">
        <v>58</v>
      </c>
      <c r="B31" s="220">
        <v>-268696098000</v>
      </c>
      <c r="C31" s="209">
        <v>-495359539000</v>
      </c>
      <c r="D31" s="209">
        <v>324228148000</v>
      </c>
      <c r="E31" s="209"/>
      <c r="F31" s="209"/>
      <c r="G31" s="209"/>
      <c r="H31" s="209"/>
      <c r="I31" s="209"/>
      <c r="J31" s="209">
        <v>10844077000</v>
      </c>
      <c r="K31" s="209"/>
      <c r="L31" s="209"/>
      <c r="M31" s="209"/>
      <c r="N31" s="209">
        <v>-953000000</v>
      </c>
      <c r="O31" s="209">
        <v>4427000000</v>
      </c>
      <c r="P31" s="209">
        <v>4427070324</v>
      </c>
      <c r="Q31" s="209"/>
      <c r="R31" s="209"/>
      <c r="S31" s="209"/>
      <c r="T31" s="209">
        <f t="shared" si="9"/>
        <v>-269649098000</v>
      </c>
      <c r="U31" s="209">
        <f t="shared" si="10"/>
        <v>-490932539000</v>
      </c>
      <c r="V31" s="209">
        <f t="shared" si="10"/>
        <v>339499295324</v>
      </c>
    </row>
    <row r="32" spans="1:22" s="224" customFormat="1" x14ac:dyDescent="0.2">
      <c r="A32" s="311" t="s">
        <v>59</v>
      </c>
      <c r="B32" s="312">
        <f t="shared" ref="B32:G32" si="11">SUM(B18:B31)</f>
        <v>-1446681186000</v>
      </c>
      <c r="C32" s="312">
        <f t="shared" si="11"/>
        <v>-1106884240000</v>
      </c>
      <c r="D32" s="312">
        <f t="shared" si="11"/>
        <v>-1476219859000</v>
      </c>
      <c r="E32" s="312">
        <f t="shared" si="11"/>
        <v>-493659522000</v>
      </c>
      <c r="F32" s="312">
        <f t="shared" si="11"/>
        <v>23244118000</v>
      </c>
      <c r="G32" s="312">
        <f t="shared" si="11"/>
        <v>45369430000</v>
      </c>
      <c r="H32" s="312">
        <f t="shared" ref="H32:U32" si="12">SUM(H18:H31)</f>
        <v>-13443552000</v>
      </c>
      <c r="I32" s="312">
        <f t="shared" si="12"/>
        <v>37056725000</v>
      </c>
      <c r="J32" s="312">
        <f t="shared" ref="J32" si="13">SUM(J18:J31)</f>
        <v>34173340000</v>
      </c>
      <c r="K32" s="312">
        <f t="shared" ref="K32:L32" si="14">SUM(K18:K31)</f>
        <v>128030732000</v>
      </c>
      <c r="L32" s="312">
        <f t="shared" si="14"/>
        <v>117043416000</v>
      </c>
      <c r="M32" s="312">
        <f t="shared" ref="M32" si="15">SUM(M18:M31)</f>
        <v>87839300000</v>
      </c>
      <c r="N32" s="312">
        <f t="shared" ref="N32:O32" si="16">SUM(N18:N31)</f>
        <v>8453000000</v>
      </c>
      <c r="O32" s="312">
        <f t="shared" si="16"/>
        <v>14365000000</v>
      </c>
      <c r="P32" s="312">
        <f t="shared" ref="P32" si="17">SUM(P18:P31)</f>
        <v>170386394953</v>
      </c>
      <c r="Q32" s="312">
        <f t="shared" si="12"/>
        <v>-59458986000</v>
      </c>
      <c r="R32" s="312">
        <f t="shared" si="12"/>
        <v>-70157171000</v>
      </c>
      <c r="S32" s="312">
        <f t="shared" ref="S32" si="18">SUM(S18:S31)</f>
        <v>-73186697000</v>
      </c>
      <c r="T32" s="312">
        <f t="shared" si="12"/>
        <v>-1876759514000</v>
      </c>
      <c r="U32" s="312">
        <f t="shared" si="12"/>
        <v>-985332152000</v>
      </c>
      <c r="V32" s="312">
        <f t="shared" ref="V32" si="19">SUM(V18:V31)</f>
        <v>-1211638091047</v>
      </c>
    </row>
    <row r="33" spans="1:22" s="224" customFormat="1" x14ac:dyDescent="0.2">
      <c r="A33" s="311" t="s">
        <v>60</v>
      </c>
      <c r="B33" s="312">
        <f t="shared" ref="B33:G33" si="20">+B16+B32</f>
        <v>17886971238000</v>
      </c>
      <c r="C33" s="312">
        <f t="shared" si="20"/>
        <v>18938010693000</v>
      </c>
      <c r="D33" s="312">
        <f t="shared" si="20"/>
        <v>19626394727000</v>
      </c>
      <c r="E33" s="312">
        <f t="shared" si="20"/>
        <v>941581823000</v>
      </c>
      <c r="F33" s="312">
        <f t="shared" si="20"/>
        <v>1071289585000</v>
      </c>
      <c r="G33" s="312">
        <f t="shared" si="20"/>
        <v>900988538000</v>
      </c>
      <c r="H33" s="312">
        <f t="shared" ref="H33:U33" si="21">+H16+H32</f>
        <v>809756137000</v>
      </c>
      <c r="I33" s="312">
        <f t="shared" si="21"/>
        <v>580888023000</v>
      </c>
      <c r="J33" s="312">
        <f t="shared" ref="J33" si="22">+J16+J32</f>
        <v>627362154000</v>
      </c>
      <c r="K33" s="312">
        <f t="shared" ref="K33:L33" si="23">+K16+K32</f>
        <v>693671819000</v>
      </c>
      <c r="L33" s="312">
        <f t="shared" si="23"/>
        <v>605832334000</v>
      </c>
      <c r="M33" s="312">
        <f t="shared" ref="M33" si="24">+M16+M32</f>
        <v>602413662000</v>
      </c>
      <c r="N33" s="312">
        <f t="shared" ref="N33:O33" si="25">+N16+N32</f>
        <v>278581000000</v>
      </c>
      <c r="O33" s="312">
        <f t="shared" si="25"/>
        <v>274762000000</v>
      </c>
      <c r="P33" s="312">
        <f t="shared" ref="P33" si="26">+P16+P32</f>
        <v>524395104647</v>
      </c>
      <c r="Q33" s="312">
        <f t="shared" si="21"/>
        <v>82902545000</v>
      </c>
      <c r="R33" s="312">
        <f t="shared" si="21"/>
        <v>103396266000</v>
      </c>
      <c r="S33" s="312">
        <f t="shared" ref="S33" si="27">+S16+S32</f>
        <v>74730214000</v>
      </c>
      <c r="T33" s="312">
        <f t="shared" si="21"/>
        <v>20693464562000</v>
      </c>
      <c r="U33" s="312">
        <f t="shared" si="21"/>
        <v>21574178901000</v>
      </c>
      <c r="V33" s="312">
        <f t="shared" ref="V33" si="28">+V16+V32</f>
        <v>22356284399647</v>
      </c>
    </row>
    <row r="34" spans="1:22" s="224" customFormat="1" x14ac:dyDescent="0.2">
      <c r="A34" s="232"/>
      <c r="B34" s="233"/>
      <c r="C34" s="233"/>
      <c r="D34" s="233"/>
      <c r="E34" s="233"/>
      <c r="F34" s="233"/>
      <c r="G34" s="233"/>
      <c r="H34" s="233"/>
      <c r="I34" s="233"/>
      <c r="J34" s="233"/>
      <c r="K34" s="233"/>
      <c r="L34" s="233"/>
      <c r="M34" s="233"/>
      <c r="N34" s="233"/>
      <c r="O34" s="233"/>
      <c r="P34" s="233"/>
      <c r="Q34" s="233"/>
      <c r="R34" s="233"/>
      <c r="S34" s="233"/>
      <c r="T34" s="233"/>
      <c r="U34" s="233"/>
      <c r="V34" s="233"/>
    </row>
    <row r="35" spans="1:22" s="224" customFormat="1" ht="15" x14ac:dyDescent="0.2">
      <c r="A35" s="306" t="s">
        <v>242</v>
      </c>
      <c r="B35" s="233"/>
      <c r="C35" s="233"/>
      <c r="D35" s="233"/>
      <c r="E35" s="233"/>
      <c r="F35" s="233"/>
      <c r="G35" s="233"/>
      <c r="H35" s="233"/>
      <c r="I35" s="233"/>
      <c r="J35" s="233"/>
      <c r="K35" s="233"/>
      <c r="L35" s="233"/>
      <c r="M35" s="233"/>
      <c r="N35" s="233"/>
      <c r="O35" s="233"/>
      <c r="P35" s="233"/>
      <c r="Q35" s="233"/>
      <c r="R35" s="233"/>
      <c r="S35" s="233"/>
      <c r="T35" s="233"/>
      <c r="U35" s="233"/>
      <c r="V35" s="233"/>
    </row>
    <row r="36" spans="1:22" s="224" customFormat="1" x14ac:dyDescent="0.2">
      <c r="A36" s="216"/>
      <c r="B36" s="233"/>
      <c r="C36" s="233"/>
      <c r="D36" s="233"/>
      <c r="E36" s="233"/>
      <c r="F36" s="233"/>
      <c r="G36" s="233"/>
      <c r="H36" s="233"/>
      <c r="I36" s="233"/>
      <c r="J36" s="233"/>
      <c r="K36" s="233"/>
      <c r="L36" s="233"/>
      <c r="M36" s="233"/>
      <c r="N36" s="233"/>
      <c r="O36" s="233"/>
      <c r="P36" s="233"/>
      <c r="Q36" s="233"/>
      <c r="R36" s="233"/>
      <c r="S36" s="233"/>
      <c r="T36" s="233"/>
      <c r="U36" s="233"/>
      <c r="V36" s="233"/>
    </row>
    <row r="37" spans="1:22" x14ac:dyDescent="0.2">
      <c r="A37" s="226" t="s">
        <v>61</v>
      </c>
      <c r="B37" s="220">
        <v>11260338556000</v>
      </c>
      <c r="C37" s="213">
        <v>13575256908000</v>
      </c>
      <c r="D37" s="213">
        <v>6231310516000</v>
      </c>
      <c r="E37" s="213">
        <v>1712904569000</v>
      </c>
      <c r="F37" s="213">
        <v>2247093291000</v>
      </c>
      <c r="G37" s="213">
        <v>1053952604000</v>
      </c>
      <c r="H37" s="213">
        <v>658117553000</v>
      </c>
      <c r="I37" s="213">
        <v>820806957000</v>
      </c>
      <c r="J37" s="213">
        <v>372242289000</v>
      </c>
      <c r="K37" s="213">
        <v>493702641000</v>
      </c>
      <c r="L37" s="213">
        <v>531313817000</v>
      </c>
      <c r="M37" s="213">
        <v>230993726000</v>
      </c>
      <c r="N37" s="213">
        <v>270645000000</v>
      </c>
      <c r="O37" s="213">
        <v>360684000000</v>
      </c>
      <c r="P37" s="213">
        <v>175933030723</v>
      </c>
      <c r="Q37" s="213">
        <f>195473514*1000</f>
        <v>195473514000</v>
      </c>
      <c r="R37" s="213">
        <f>234698864*1000</f>
        <v>234698864000</v>
      </c>
      <c r="S37" s="213">
        <v>127516329000</v>
      </c>
      <c r="T37" s="209">
        <f t="shared" ref="T37:V39" si="29">+SUM(H37+E37+B37+Q37+N37+K37)</f>
        <v>14591181833000</v>
      </c>
      <c r="U37" s="209">
        <f t="shared" si="29"/>
        <v>17769853837000</v>
      </c>
      <c r="V37" s="209">
        <f t="shared" si="29"/>
        <v>8191948494723</v>
      </c>
    </row>
    <row r="38" spans="1:22" x14ac:dyDescent="0.2">
      <c r="A38" s="226" t="s">
        <v>62</v>
      </c>
      <c r="B38" s="220"/>
      <c r="C38" s="213"/>
      <c r="D38" s="213"/>
      <c r="E38" s="213">
        <f>1840306854000+209081860000</f>
        <v>2049388714000</v>
      </c>
      <c r="F38" s="213">
        <f>2069434461000+258438196000</f>
        <v>2327872657000</v>
      </c>
      <c r="G38" s="213">
        <f>1175364441000+91334329000+13736754000</f>
        <v>1280435524000</v>
      </c>
      <c r="H38" s="213"/>
      <c r="I38" s="213"/>
      <c r="J38" s="213"/>
      <c r="K38" s="213">
        <v>436028846000</v>
      </c>
      <c r="L38" s="213">
        <v>414836323000</v>
      </c>
      <c r="M38" s="213">
        <v>208259448000</v>
      </c>
      <c r="N38" s="213">
        <v>296985000000</v>
      </c>
      <c r="O38" s="213">
        <v>371007000000</v>
      </c>
      <c r="P38" s="213">
        <v>182709748125</v>
      </c>
      <c r="Q38" s="213"/>
      <c r="R38" s="213"/>
      <c r="S38" s="213"/>
      <c r="T38" s="209">
        <f t="shared" si="29"/>
        <v>2782402560000</v>
      </c>
      <c r="U38" s="209">
        <f t="shared" si="29"/>
        <v>3113715980000</v>
      </c>
      <c r="V38" s="209">
        <f t="shared" si="29"/>
        <v>1671404720125</v>
      </c>
    </row>
    <row r="39" spans="1:22" x14ac:dyDescent="0.2">
      <c r="A39" s="214" t="s">
        <v>63</v>
      </c>
      <c r="B39" s="220">
        <v>11516997208000</v>
      </c>
      <c r="C39" s="213">
        <v>11964142640000</v>
      </c>
      <c r="D39" s="213">
        <v>5807612215000</v>
      </c>
      <c r="E39" s="213">
        <f>43401477000+-14406729000</f>
        <v>28994748000</v>
      </c>
      <c r="F39" s="213">
        <f>46978199000-90887962000</f>
        <v>-43909763000</v>
      </c>
      <c r="G39" s="213">
        <v>23939380000</v>
      </c>
      <c r="H39" s="213">
        <v>690488679000</v>
      </c>
      <c r="I39" s="213">
        <v>763598864000</v>
      </c>
      <c r="J39" s="213">
        <v>347970594000</v>
      </c>
      <c r="K39" s="213">
        <f>14877616000+11875438000</f>
        <v>26753054000</v>
      </c>
      <c r="L39" s="213">
        <f>16068921000+17269717000</f>
        <v>33338638000</v>
      </c>
      <c r="M39" s="213">
        <f>7469857000+8321383000</f>
        <v>15791240000</v>
      </c>
      <c r="N39" s="213">
        <v>43243000000</v>
      </c>
      <c r="O39" s="213">
        <v>61612000000</v>
      </c>
      <c r="P39" s="213">
        <v>30915605598</v>
      </c>
      <c r="Q39" s="213">
        <f>182683711*1000</f>
        <v>182683711000</v>
      </c>
      <c r="R39" s="213">
        <f>250541468*1000</f>
        <v>250541468000</v>
      </c>
      <c r="S39" s="213">
        <v>133565265000</v>
      </c>
      <c r="T39" s="209">
        <f t="shared" si="29"/>
        <v>12489160400000</v>
      </c>
      <c r="U39" s="209">
        <f t="shared" si="29"/>
        <v>13029323847000</v>
      </c>
      <c r="V39" s="209">
        <f t="shared" si="29"/>
        <v>6359794299598</v>
      </c>
    </row>
    <row r="40" spans="1:22" s="224" customFormat="1" x14ac:dyDescent="0.2">
      <c r="A40" s="311" t="s">
        <v>64</v>
      </c>
      <c r="B40" s="312">
        <f t="shared" ref="B40:G40" si="30">+B37-B38-B39</f>
        <v>-256658652000</v>
      </c>
      <c r="C40" s="312">
        <f t="shared" si="30"/>
        <v>1611114268000</v>
      </c>
      <c r="D40" s="312">
        <f t="shared" si="30"/>
        <v>423698301000</v>
      </c>
      <c r="E40" s="312">
        <f t="shared" si="30"/>
        <v>-365478893000</v>
      </c>
      <c r="F40" s="312">
        <f t="shared" si="30"/>
        <v>-36869603000</v>
      </c>
      <c r="G40" s="312">
        <f t="shared" si="30"/>
        <v>-250422300000</v>
      </c>
      <c r="H40" s="312">
        <f t="shared" ref="H40:U40" si="31">+H37-H38-H39</f>
        <v>-32371126000</v>
      </c>
      <c r="I40" s="312">
        <f t="shared" si="31"/>
        <v>57208093000</v>
      </c>
      <c r="J40" s="312">
        <f t="shared" si="31"/>
        <v>24271695000</v>
      </c>
      <c r="K40" s="312">
        <f t="shared" ref="K40:M40" si="32">+K37-K38-K39</f>
        <v>30920741000</v>
      </c>
      <c r="L40" s="312">
        <f t="shared" si="32"/>
        <v>83138856000</v>
      </c>
      <c r="M40" s="312">
        <f t="shared" si="32"/>
        <v>6943038000</v>
      </c>
      <c r="N40" s="312">
        <f t="shared" ref="N40:P40" si="33">+N37-N38-N39</f>
        <v>-69583000000</v>
      </c>
      <c r="O40" s="312">
        <f t="shared" si="33"/>
        <v>-71935000000</v>
      </c>
      <c r="P40" s="312">
        <f t="shared" si="33"/>
        <v>-37692323000</v>
      </c>
      <c r="Q40" s="312">
        <f t="shared" si="31"/>
        <v>12789803000</v>
      </c>
      <c r="R40" s="312">
        <f t="shared" si="31"/>
        <v>-15842604000</v>
      </c>
      <c r="S40" s="312">
        <f t="shared" si="31"/>
        <v>-6048936000</v>
      </c>
      <c r="T40" s="312">
        <f t="shared" si="31"/>
        <v>-680381127000</v>
      </c>
      <c r="U40" s="312">
        <f t="shared" si="31"/>
        <v>1626814010000</v>
      </c>
      <c r="V40" s="312">
        <f t="shared" ref="V40" si="34">+V37-V38-V39</f>
        <v>160749475000</v>
      </c>
    </row>
    <row r="41" spans="1:22" x14ac:dyDescent="0.2">
      <c r="A41" s="214" t="s">
        <v>65</v>
      </c>
      <c r="B41" s="220">
        <v>197316722000</v>
      </c>
      <c r="C41" s="213">
        <f>29753493000+5816724000</f>
        <v>35570217000</v>
      </c>
      <c r="D41" s="213">
        <v>14305705000</v>
      </c>
      <c r="E41" s="213">
        <f>70248248000+692648000</f>
        <v>70940896000</v>
      </c>
      <c r="F41" s="213">
        <f>139941907000+18567331000</f>
        <v>158509238000</v>
      </c>
      <c r="G41" s="213">
        <f>79993762000+8129969000+22655976000</f>
        <v>110779707000</v>
      </c>
      <c r="H41" s="213">
        <v>1459757000</v>
      </c>
      <c r="I41" s="213">
        <v>16206881000</v>
      </c>
      <c r="J41" s="213">
        <f>4178913000+1200064000</f>
        <v>5378977000</v>
      </c>
      <c r="K41" s="213">
        <f>7835061000+22823695000</f>
        <v>30658756000</v>
      </c>
      <c r="L41" s="213">
        <f>8036544000+28768785000</f>
        <v>36805329000</v>
      </c>
      <c r="M41" s="213">
        <f>5902601000+1039471000</f>
        <v>6942072000</v>
      </c>
      <c r="N41" s="213">
        <v>67428000000</v>
      </c>
      <c r="O41" s="213">
        <v>73205000000</v>
      </c>
      <c r="P41" s="213">
        <v>45236291083</v>
      </c>
      <c r="Q41" s="213">
        <f>(238239+3934916)*1000</f>
        <v>4173155000</v>
      </c>
      <c r="R41" s="213">
        <f>622096*1000</f>
        <v>622096000</v>
      </c>
      <c r="S41" s="213">
        <f>645745000+2336338000</f>
        <v>2982083000</v>
      </c>
      <c r="T41" s="209">
        <f t="shared" ref="T41:V42" si="35">+SUM(H41+E41+B41+Q41+N41+K41)</f>
        <v>371977286000</v>
      </c>
      <c r="U41" s="209">
        <f t="shared" si="35"/>
        <v>320918761000</v>
      </c>
      <c r="V41" s="209">
        <f t="shared" si="35"/>
        <v>185624835083</v>
      </c>
    </row>
    <row r="42" spans="1:22" x14ac:dyDescent="0.2">
      <c r="A42" s="214" t="s">
        <v>66</v>
      </c>
      <c r="B42" s="220">
        <v>737408395000</v>
      </c>
      <c r="C42" s="213">
        <f>1188447128000+227705921000</f>
        <v>1416153049000</v>
      </c>
      <c r="D42" s="213">
        <f>564719343000+49462129000+66659833000</f>
        <v>680841305000</v>
      </c>
      <c r="E42" s="213">
        <f>31360981000+24480538000+7057816000+51009212000+14406729000</f>
        <v>128315276000</v>
      </c>
      <c r="F42" s="213">
        <f>36820724000+12233221000+8490260000+31905510000+90887962000</f>
        <v>180337677000</v>
      </c>
      <c r="G42" s="213">
        <f>10878678000+4587606000</f>
        <v>15466284000</v>
      </c>
      <c r="H42" s="213"/>
      <c r="I42" s="213"/>
      <c r="J42" s="213">
        <f>15327820000+4357858000</f>
        <v>19685678000</v>
      </c>
      <c r="K42" s="213">
        <f>17584855000+16074689000</f>
        <v>33659544000</v>
      </c>
      <c r="L42" s="213">
        <f>8615709000+57017231000</f>
        <v>65632940000</v>
      </c>
      <c r="M42" s="213">
        <f>2924215000+16567241000</f>
        <v>19491456000</v>
      </c>
      <c r="N42" s="213"/>
      <c r="O42" s="213"/>
      <c r="P42" s="213"/>
      <c r="Q42" s="213">
        <f>184902*1000</f>
        <v>184902000</v>
      </c>
      <c r="R42" s="213">
        <f>(5171509+4478140)*1000</f>
        <v>9649649000</v>
      </c>
      <c r="S42" s="213">
        <v>1592806000</v>
      </c>
      <c r="T42" s="209">
        <f t="shared" si="35"/>
        <v>899568117000</v>
      </c>
      <c r="U42" s="209">
        <f t="shared" si="35"/>
        <v>1671773315000</v>
      </c>
      <c r="V42" s="209">
        <f t="shared" si="35"/>
        <v>737077529000</v>
      </c>
    </row>
    <row r="43" spans="1:22" s="224" customFormat="1" x14ac:dyDescent="0.2">
      <c r="A43" s="311" t="s">
        <v>67</v>
      </c>
      <c r="B43" s="312">
        <f t="shared" ref="B43:G43" si="36">+B40+B41-B42</f>
        <v>-796750325000</v>
      </c>
      <c r="C43" s="312">
        <f t="shared" si="36"/>
        <v>230531436000</v>
      </c>
      <c r="D43" s="312">
        <f t="shared" si="36"/>
        <v>-242837299000</v>
      </c>
      <c r="E43" s="312">
        <f t="shared" si="36"/>
        <v>-422853273000</v>
      </c>
      <c r="F43" s="312">
        <f t="shared" si="36"/>
        <v>-58698042000</v>
      </c>
      <c r="G43" s="312">
        <f t="shared" si="36"/>
        <v>-155108877000</v>
      </c>
      <c r="H43" s="312">
        <f t="shared" ref="H43:U43" si="37">+H40+H41-H42</f>
        <v>-30911369000</v>
      </c>
      <c r="I43" s="312">
        <f t="shared" si="37"/>
        <v>73414974000</v>
      </c>
      <c r="J43" s="312">
        <f t="shared" si="37"/>
        <v>9964994000</v>
      </c>
      <c r="K43" s="312">
        <f t="shared" ref="K43:M43" si="38">+K40+K41-K42</f>
        <v>27919953000</v>
      </c>
      <c r="L43" s="312">
        <f t="shared" si="38"/>
        <v>54311245000</v>
      </c>
      <c r="M43" s="312">
        <f t="shared" si="38"/>
        <v>-5606346000</v>
      </c>
      <c r="N43" s="312">
        <f t="shared" ref="N43:P43" si="39">+N40+N41-N42</f>
        <v>-2155000000</v>
      </c>
      <c r="O43" s="312">
        <f t="shared" si="39"/>
        <v>1270000000</v>
      </c>
      <c r="P43" s="312">
        <f t="shared" si="39"/>
        <v>7543968083</v>
      </c>
      <c r="Q43" s="312">
        <f t="shared" si="37"/>
        <v>16778056000</v>
      </c>
      <c r="R43" s="312">
        <f t="shared" si="37"/>
        <v>-24870157000</v>
      </c>
      <c r="S43" s="312">
        <f t="shared" si="37"/>
        <v>-4659659000</v>
      </c>
      <c r="T43" s="312">
        <f t="shared" si="37"/>
        <v>-1207971958000</v>
      </c>
      <c r="U43" s="312">
        <f t="shared" si="37"/>
        <v>275959456000</v>
      </c>
      <c r="V43" s="312">
        <f t="shared" ref="V43" si="40">+V40+V41-V42</f>
        <v>-390703218917</v>
      </c>
    </row>
    <row r="44" spans="1:22" x14ac:dyDescent="0.2">
      <c r="A44" s="314" t="s">
        <v>68</v>
      </c>
      <c r="B44" s="315">
        <v>-4463262000</v>
      </c>
      <c r="C44" s="316">
        <v>-5798848000</v>
      </c>
      <c r="D44" s="316">
        <v>-1509284000</v>
      </c>
      <c r="E44" s="316"/>
      <c r="F44" s="316"/>
      <c r="G44" s="316"/>
      <c r="H44" s="316">
        <v>433961000</v>
      </c>
      <c r="I44" s="316">
        <v>-13909777000</v>
      </c>
      <c r="J44" s="316">
        <v>-18075345000</v>
      </c>
      <c r="K44" s="316">
        <v>-24354526000</v>
      </c>
      <c r="L44" s="316">
        <v>-15172861000</v>
      </c>
      <c r="M44" s="316">
        <v>-68219000</v>
      </c>
      <c r="N44" s="316"/>
      <c r="O44" s="316">
        <v>-190000000</v>
      </c>
      <c r="P44" s="316">
        <v>-8455800734</v>
      </c>
      <c r="Q44" s="316">
        <f>-4921398*1000</f>
        <v>-4921398000</v>
      </c>
      <c r="R44" s="316">
        <f>377067*1000</f>
        <v>377067000</v>
      </c>
      <c r="S44" s="316">
        <v>7722481000</v>
      </c>
      <c r="T44" s="316">
        <f>+SUM(H44+E44+B44+Q44+N44+K44)</f>
        <v>-33305225000</v>
      </c>
      <c r="U44" s="316">
        <f>+SUM(I44+F44+C44+R44+O44+L44)</f>
        <v>-34694419000</v>
      </c>
      <c r="V44" s="316">
        <f>+SUM(J44+G44+D44+S44+P44+M44)</f>
        <v>-20386167734</v>
      </c>
    </row>
    <row r="45" spans="1:22" s="224" customFormat="1" x14ac:dyDescent="0.2">
      <c r="A45" s="311" t="s">
        <v>69</v>
      </c>
      <c r="B45" s="312">
        <f t="shared" ref="B45:G45" si="41">+B43+B44</f>
        <v>-801213587000</v>
      </c>
      <c r="C45" s="312">
        <f t="shared" si="41"/>
        <v>224732588000</v>
      </c>
      <c r="D45" s="312">
        <f t="shared" si="41"/>
        <v>-244346583000</v>
      </c>
      <c r="E45" s="312">
        <f t="shared" si="41"/>
        <v>-422853273000</v>
      </c>
      <c r="F45" s="312">
        <f t="shared" si="41"/>
        <v>-58698042000</v>
      </c>
      <c r="G45" s="312">
        <f t="shared" si="41"/>
        <v>-155108877000</v>
      </c>
      <c r="H45" s="312">
        <f t="shared" ref="H45:U45" si="42">+H43+H44</f>
        <v>-30477408000</v>
      </c>
      <c r="I45" s="312">
        <f t="shared" si="42"/>
        <v>59505197000</v>
      </c>
      <c r="J45" s="312">
        <f t="shared" si="42"/>
        <v>-8110351000</v>
      </c>
      <c r="K45" s="312">
        <f t="shared" ref="K45:M45" si="43">+K43+K44</f>
        <v>3565427000</v>
      </c>
      <c r="L45" s="312">
        <f t="shared" si="43"/>
        <v>39138384000</v>
      </c>
      <c r="M45" s="312">
        <f t="shared" si="43"/>
        <v>-5674565000</v>
      </c>
      <c r="N45" s="312">
        <f t="shared" ref="N45:P45" si="44">+N43+N44</f>
        <v>-2155000000</v>
      </c>
      <c r="O45" s="312">
        <f t="shared" si="44"/>
        <v>1080000000</v>
      </c>
      <c r="P45" s="312">
        <f t="shared" si="44"/>
        <v>-911832651</v>
      </c>
      <c r="Q45" s="312">
        <f t="shared" si="42"/>
        <v>11856658000</v>
      </c>
      <c r="R45" s="312">
        <f t="shared" si="42"/>
        <v>-24493090000</v>
      </c>
      <c r="S45" s="312">
        <f t="shared" si="42"/>
        <v>3062822000</v>
      </c>
      <c r="T45" s="312">
        <f t="shared" si="42"/>
        <v>-1241277183000</v>
      </c>
      <c r="U45" s="312">
        <f t="shared" si="42"/>
        <v>241265037000</v>
      </c>
      <c r="V45" s="312">
        <f t="shared" ref="V45" si="45">+V43+V44</f>
        <v>-411089386651</v>
      </c>
    </row>
    <row r="46" spans="1:22" x14ac:dyDescent="0.2">
      <c r="A46" s="214" t="s">
        <v>98</v>
      </c>
      <c r="B46" s="220"/>
      <c r="C46" s="235"/>
      <c r="D46" s="235"/>
      <c r="E46" s="235">
        <v>172426000</v>
      </c>
      <c r="F46" s="235">
        <v>-1264100000</v>
      </c>
      <c r="G46" s="235"/>
      <c r="H46" s="235"/>
      <c r="I46" s="235"/>
      <c r="J46" s="235"/>
      <c r="K46" s="235"/>
      <c r="L46" s="235"/>
      <c r="M46" s="235"/>
      <c r="N46" s="235">
        <v>1863000000</v>
      </c>
      <c r="O46" s="235">
        <v>5380000000</v>
      </c>
      <c r="P46" s="235"/>
      <c r="Q46" s="235"/>
      <c r="R46" s="235"/>
      <c r="S46" s="235">
        <v>-6092348000</v>
      </c>
      <c r="T46" s="209">
        <f>+SUM(H46+E46+B46+Q46+N46+K46)</f>
        <v>2035426000</v>
      </c>
      <c r="U46" s="209">
        <f>+SUM(I46+F46+C46+R46+O46+L46)</f>
        <v>4115900000</v>
      </c>
      <c r="V46" s="209">
        <f>+SUM(J46+G46+D46+S46+P46+M46)</f>
        <v>-6092348000</v>
      </c>
    </row>
    <row r="47" spans="1:22" s="224" customFormat="1" x14ac:dyDescent="0.2">
      <c r="A47" s="311" t="s">
        <v>183</v>
      </c>
      <c r="B47" s="312">
        <f t="shared" ref="B47:G47" si="46">+B45+B46</f>
        <v>-801213587000</v>
      </c>
      <c r="C47" s="312">
        <f t="shared" si="46"/>
        <v>224732588000</v>
      </c>
      <c r="D47" s="312">
        <f t="shared" si="46"/>
        <v>-244346583000</v>
      </c>
      <c r="E47" s="312">
        <f t="shared" si="46"/>
        <v>-422680847000</v>
      </c>
      <c r="F47" s="312">
        <f t="shared" si="46"/>
        <v>-59962142000</v>
      </c>
      <c r="G47" s="312">
        <f t="shared" si="46"/>
        <v>-155108877000</v>
      </c>
      <c r="H47" s="312">
        <f t="shared" ref="H47:U47" si="47">+H45+H46</f>
        <v>-30477408000</v>
      </c>
      <c r="I47" s="312">
        <f t="shared" si="47"/>
        <v>59505197000</v>
      </c>
      <c r="J47" s="312">
        <f t="shared" si="47"/>
        <v>-8110351000</v>
      </c>
      <c r="K47" s="312">
        <f t="shared" ref="K47:M47" si="48">+K45+K46</f>
        <v>3565427000</v>
      </c>
      <c r="L47" s="312">
        <f t="shared" si="48"/>
        <v>39138384000</v>
      </c>
      <c r="M47" s="312">
        <f t="shared" si="48"/>
        <v>-5674565000</v>
      </c>
      <c r="N47" s="312">
        <f t="shared" ref="N47:P47" si="49">+N45+N46</f>
        <v>-292000000</v>
      </c>
      <c r="O47" s="312">
        <f t="shared" si="49"/>
        <v>6460000000</v>
      </c>
      <c r="P47" s="312">
        <f t="shared" si="49"/>
        <v>-911832651</v>
      </c>
      <c r="Q47" s="312">
        <f t="shared" si="47"/>
        <v>11856658000</v>
      </c>
      <c r="R47" s="312">
        <f t="shared" si="47"/>
        <v>-24493090000</v>
      </c>
      <c r="S47" s="312">
        <f t="shared" si="47"/>
        <v>-3029526000</v>
      </c>
      <c r="T47" s="312">
        <f t="shared" si="47"/>
        <v>-1239241757000</v>
      </c>
      <c r="U47" s="312">
        <f t="shared" si="47"/>
        <v>245380937000</v>
      </c>
      <c r="V47" s="312">
        <f t="shared" ref="V47" si="50">+V45+V46</f>
        <v>-417181734651</v>
      </c>
    </row>
    <row r="48" spans="1:22" s="216" customFormat="1" x14ac:dyDescent="0.2">
      <c r="A48" s="238"/>
      <c r="B48" s="240"/>
      <c r="C48" s="240"/>
      <c r="D48" s="240"/>
      <c r="E48" s="240"/>
      <c r="F48" s="240"/>
      <c r="G48" s="240"/>
      <c r="H48" s="240"/>
      <c r="I48" s="240"/>
      <c r="J48" s="240"/>
      <c r="K48" s="240"/>
      <c r="L48" s="240"/>
      <c r="M48" s="240"/>
      <c r="N48" s="240"/>
      <c r="O48" s="240"/>
      <c r="P48" s="240"/>
      <c r="Q48" s="240"/>
      <c r="R48" s="240"/>
      <c r="S48" s="240"/>
      <c r="T48" s="240"/>
      <c r="U48" s="240"/>
      <c r="V48" s="240"/>
    </row>
    <row r="49" spans="1:22" s="216" customFormat="1" x14ac:dyDescent="0.2">
      <c r="A49" s="238" t="s">
        <v>99</v>
      </c>
      <c r="B49" s="317">
        <f t="shared" ref="B49:G49" si="51">+B12-B33</f>
        <v>0</v>
      </c>
      <c r="C49" s="317">
        <f t="shared" si="51"/>
        <v>0</v>
      </c>
      <c r="D49" s="317">
        <f t="shared" si="51"/>
        <v>0</v>
      </c>
      <c r="E49" s="317">
        <f t="shared" si="51"/>
        <v>0</v>
      </c>
      <c r="F49" s="317">
        <f t="shared" si="51"/>
        <v>0</v>
      </c>
      <c r="G49" s="317">
        <f t="shared" si="51"/>
        <v>0</v>
      </c>
      <c r="H49" s="317">
        <f t="shared" ref="H49:U49" si="52">+H12-H33</f>
        <v>0</v>
      </c>
      <c r="I49" s="317">
        <f t="shared" si="52"/>
        <v>0</v>
      </c>
      <c r="J49" s="317">
        <f t="shared" si="52"/>
        <v>0</v>
      </c>
      <c r="K49" s="317">
        <f t="shared" ref="K49:L49" si="53">+K12-K33</f>
        <v>0</v>
      </c>
      <c r="L49" s="317">
        <f t="shared" si="53"/>
        <v>0</v>
      </c>
      <c r="M49" s="317">
        <f t="shared" ref="M49" si="54">+M12-M33</f>
        <v>0</v>
      </c>
      <c r="N49" s="317">
        <f t="shared" ref="N49:P49" si="55">+N12-N33</f>
        <v>0</v>
      </c>
      <c r="O49" s="317">
        <f t="shared" si="55"/>
        <v>0</v>
      </c>
      <c r="P49" s="317">
        <f t="shared" si="55"/>
        <v>0</v>
      </c>
      <c r="Q49" s="317">
        <f t="shared" si="52"/>
        <v>0</v>
      </c>
      <c r="R49" s="317">
        <f t="shared" si="52"/>
        <v>0</v>
      </c>
      <c r="S49" s="317">
        <f t="shared" si="52"/>
        <v>0</v>
      </c>
      <c r="T49" s="317">
        <f t="shared" si="52"/>
        <v>0</v>
      </c>
      <c r="U49" s="317">
        <f t="shared" si="52"/>
        <v>0</v>
      </c>
      <c r="V49" s="317">
        <f t="shared" ref="V49" si="56">+V12-V33</f>
        <v>0</v>
      </c>
    </row>
    <row r="50" spans="1:22" s="216" customFormat="1" x14ac:dyDescent="0.2">
      <c r="A50" s="238" t="s">
        <v>100</v>
      </c>
      <c r="B50" s="317">
        <v>-801213587000</v>
      </c>
      <c r="C50" s="317">
        <v>224732588000</v>
      </c>
      <c r="D50" s="317">
        <v>-244346583000</v>
      </c>
      <c r="E50" s="317">
        <v>-422853273000</v>
      </c>
      <c r="F50" s="317">
        <v>-58698042000</v>
      </c>
      <c r="G50" s="317">
        <v>-155108877000</v>
      </c>
      <c r="H50" s="317">
        <v>-30477408000</v>
      </c>
      <c r="I50" s="317">
        <v>59505197000</v>
      </c>
      <c r="J50" s="317">
        <v>-8110351000</v>
      </c>
      <c r="K50" s="317">
        <v>3565427000</v>
      </c>
      <c r="L50" s="317">
        <v>39138384000</v>
      </c>
      <c r="M50" s="317">
        <v>-5674565000</v>
      </c>
      <c r="N50" s="317">
        <v>-2155000000</v>
      </c>
      <c r="O50" s="317">
        <v>1080000000</v>
      </c>
      <c r="P50" s="317">
        <v>-911832651</v>
      </c>
      <c r="Q50" s="317">
        <v>11856658000</v>
      </c>
      <c r="R50" s="317">
        <v>-24493090000</v>
      </c>
      <c r="S50" s="317">
        <v>3062822000</v>
      </c>
      <c r="T50" s="317">
        <v>-1241277183000</v>
      </c>
      <c r="U50" s="317">
        <v>241265037000</v>
      </c>
      <c r="V50" s="317">
        <v>-411089386651</v>
      </c>
    </row>
    <row r="51" spans="1:22" s="216" customFormat="1" x14ac:dyDescent="0.2">
      <c r="A51" s="238" t="s">
        <v>101</v>
      </c>
      <c r="B51" s="317">
        <f t="shared" ref="B51:G51" si="57">+B45-B50</f>
        <v>0</v>
      </c>
      <c r="C51" s="317">
        <f t="shared" si="57"/>
        <v>0</v>
      </c>
      <c r="D51" s="317">
        <f t="shared" si="57"/>
        <v>0</v>
      </c>
      <c r="E51" s="317">
        <f t="shared" si="57"/>
        <v>0</v>
      </c>
      <c r="F51" s="317">
        <f t="shared" si="57"/>
        <v>0</v>
      </c>
      <c r="G51" s="317">
        <f t="shared" si="57"/>
        <v>0</v>
      </c>
      <c r="H51" s="317">
        <f t="shared" ref="H51:U51" si="58">+H45-H50</f>
        <v>0</v>
      </c>
      <c r="I51" s="317">
        <f t="shared" si="58"/>
        <v>0</v>
      </c>
      <c r="J51" s="317">
        <f t="shared" si="58"/>
        <v>0</v>
      </c>
      <c r="K51" s="317">
        <f t="shared" ref="K51:L51" si="59">+K45-K50</f>
        <v>0</v>
      </c>
      <c r="L51" s="317">
        <f t="shared" si="59"/>
        <v>0</v>
      </c>
      <c r="M51" s="317">
        <f t="shared" ref="M51" si="60">+M45-M50</f>
        <v>0</v>
      </c>
      <c r="N51" s="317">
        <f t="shared" ref="N51:P51" si="61">+N45-N50</f>
        <v>0</v>
      </c>
      <c r="O51" s="317">
        <f t="shared" si="61"/>
        <v>0</v>
      </c>
      <c r="P51" s="317">
        <f t="shared" si="61"/>
        <v>0</v>
      </c>
      <c r="Q51" s="317">
        <f t="shared" si="58"/>
        <v>0</v>
      </c>
      <c r="R51" s="317">
        <f t="shared" si="58"/>
        <v>0</v>
      </c>
      <c r="S51" s="317">
        <f t="shared" si="58"/>
        <v>0</v>
      </c>
      <c r="T51" s="317">
        <f t="shared" si="58"/>
        <v>0</v>
      </c>
      <c r="U51" s="317">
        <f t="shared" si="58"/>
        <v>0</v>
      </c>
      <c r="V51" s="317">
        <f t="shared" ref="V51" si="62">+V45-V50</f>
        <v>0</v>
      </c>
    </row>
    <row r="53" spans="1:22" s="238" customFormat="1" x14ac:dyDescent="0.2">
      <c r="B53" s="232"/>
      <c r="C53" s="232"/>
      <c r="D53" s="232"/>
      <c r="E53" s="232"/>
      <c r="F53" s="232"/>
      <c r="G53" s="232"/>
      <c r="H53" s="232"/>
      <c r="I53" s="232"/>
      <c r="J53" s="232"/>
      <c r="K53" s="232"/>
      <c r="L53" s="232"/>
      <c r="M53" s="232"/>
      <c r="N53" s="232"/>
      <c r="O53" s="232"/>
      <c r="P53" s="232"/>
      <c r="Q53" s="232"/>
      <c r="R53" s="232"/>
      <c r="S53" s="232"/>
      <c r="T53" s="232"/>
      <c r="U53" s="232"/>
      <c r="V53" s="232"/>
    </row>
    <row r="54" spans="1:22" s="238" customFormat="1" x14ac:dyDescent="0.2">
      <c r="B54" s="232"/>
      <c r="C54" s="232"/>
      <c r="D54" s="232"/>
      <c r="E54" s="243"/>
      <c r="F54" s="243"/>
      <c r="G54" s="243"/>
      <c r="H54" s="232"/>
      <c r="I54" s="232"/>
      <c r="J54" s="232"/>
      <c r="K54" s="232"/>
      <c r="L54" s="232"/>
      <c r="M54" s="232"/>
      <c r="N54" s="232"/>
      <c r="O54" s="232"/>
      <c r="P54" s="232"/>
      <c r="Q54" s="232"/>
      <c r="R54" s="232"/>
      <c r="S54" s="232"/>
      <c r="T54" s="232"/>
      <c r="U54" s="232"/>
      <c r="V54" s="232"/>
    </row>
    <row r="55" spans="1:22" ht="15" x14ac:dyDescent="0.2">
      <c r="A55" s="306" t="s">
        <v>196</v>
      </c>
    </row>
    <row r="57" spans="1:22" x14ac:dyDescent="0.2">
      <c r="A57" s="207" t="s">
        <v>105</v>
      </c>
      <c r="B57" s="207"/>
      <c r="C57" s="207"/>
      <c r="D57" s="207"/>
      <c r="E57" s="207"/>
      <c r="F57" s="207"/>
      <c r="G57" s="207"/>
      <c r="H57" s="207"/>
      <c r="I57" s="207"/>
      <c r="J57" s="207"/>
      <c r="K57" s="207"/>
      <c r="L57" s="207"/>
      <c r="M57" s="207"/>
      <c r="N57" s="207"/>
      <c r="O57" s="207"/>
      <c r="P57" s="207"/>
      <c r="Q57" s="207"/>
      <c r="R57" s="207"/>
      <c r="S57" s="207"/>
      <c r="T57" s="207"/>
      <c r="U57" s="207"/>
      <c r="V57" s="207"/>
    </row>
    <row r="58" spans="1:22" ht="24" x14ac:dyDescent="0.2">
      <c r="A58" s="249" t="s">
        <v>195</v>
      </c>
      <c r="B58" s="206">
        <f t="shared" ref="B58:U58" si="63">IFERROR(B10/B14,0)</f>
        <v>0.40397683581162924</v>
      </c>
      <c r="C58" s="206">
        <f t="shared" si="63"/>
        <v>0.49881093970060519</v>
      </c>
      <c r="D58" s="206">
        <f t="shared" ref="D58" si="64">IFERROR(D10/D14,0)</f>
        <v>0.39214299244559309</v>
      </c>
      <c r="E58" s="206">
        <f t="shared" si="63"/>
        <v>0.64930433972117729</v>
      </c>
      <c r="F58" s="206">
        <f t="shared" si="63"/>
        <v>1.0133245584461463</v>
      </c>
      <c r="G58" s="206">
        <f t="shared" si="63"/>
        <v>1.0423796295347614</v>
      </c>
      <c r="H58" s="206">
        <f t="shared" si="63"/>
        <v>0.55780316402512464</v>
      </c>
      <c r="I58" s="206">
        <f t="shared" si="63"/>
        <v>0.67100423883231908</v>
      </c>
      <c r="J58" s="206">
        <f t="shared" ref="J58" si="65">IFERROR(J10/J14,0)</f>
        <v>0.70808367894359303</v>
      </c>
      <c r="K58" s="206">
        <f t="shared" si="63"/>
        <v>2.6368694417591292</v>
      </c>
      <c r="L58" s="206">
        <f t="shared" si="63"/>
        <v>2.2344601440966083</v>
      </c>
      <c r="M58" s="206">
        <f t="shared" si="63"/>
        <v>1.4434566230947357</v>
      </c>
      <c r="N58" s="206">
        <f t="shared" si="63"/>
        <v>1.2748274212288975</v>
      </c>
      <c r="O58" s="206">
        <f t="shared" si="63"/>
        <v>1.2302719226677958</v>
      </c>
      <c r="P58" s="206">
        <f t="shared" ref="P58" si="66">IFERROR(P10/P14,0)</f>
        <v>1.6781771815870981</v>
      </c>
      <c r="Q58" s="206">
        <f t="shared" si="63"/>
        <v>0.53442628755750354</v>
      </c>
      <c r="R58" s="206">
        <f t="shared" si="63"/>
        <v>0.66883197419389928</v>
      </c>
      <c r="S58" s="206">
        <f t="shared" si="63"/>
        <v>0.4642515049798458</v>
      </c>
      <c r="T58" s="206">
        <f t="shared" si="63"/>
        <v>0.45993700833491691</v>
      </c>
      <c r="U58" s="206">
        <f t="shared" si="63"/>
        <v>0.57404341940976622</v>
      </c>
      <c r="V58" s="206">
        <f t="shared" ref="V58" si="67">IFERROR(V10/V14,0)</f>
        <v>0.48535323677650677</v>
      </c>
    </row>
    <row r="59" spans="1:22" x14ac:dyDescent="0.2">
      <c r="A59" s="207" t="s">
        <v>106</v>
      </c>
      <c r="B59" s="208"/>
      <c r="C59" s="208"/>
      <c r="D59" s="208"/>
      <c r="E59" s="208"/>
      <c r="F59" s="208"/>
      <c r="G59" s="208"/>
      <c r="H59" s="208"/>
      <c r="I59" s="208"/>
      <c r="J59" s="208"/>
      <c r="K59" s="208"/>
      <c r="L59" s="208"/>
      <c r="M59" s="208"/>
      <c r="N59" s="208"/>
      <c r="O59" s="208"/>
      <c r="P59" s="208"/>
      <c r="Q59" s="208"/>
      <c r="R59" s="208"/>
      <c r="S59" s="208"/>
      <c r="T59" s="208"/>
      <c r="U59" s="208"/>
      <c r="V59" s="208"/>
    </row>
    <row r="60" spans="1:22" x14ac:dyDescent="0.2">
      <c r="A60" s="96" t="s">
        <v>74</v>
      </c>
      <c r="B60" s="87">
        <f t="shared" ref="B60:U60" si="68">IFERROR(B14/B16,0)</f>
        <v>0.53320877731322969</v>
      </c>
      <c r="C60" s="87">
        <f t="shared" si="68"/>
        <v>0.47515034176208321</v>
      </c>
      <c r="D60" s="87">
        <f t="shared" ref="D60" si="69">IFERROR(D14/D16,0)</f>
        <v>0.4492171945977273</v>
      </c>
      <c r="E60" s="87">
        <f t="shared" si="68"/>
        <v>0.9924217867344115</v>
      </c>
      <c r="F60" s="87">
        <f t="shared" si="68"/>
        <v>0.98951329942635013</v>
      </c>
      <c r="G60" s="87">
        <f t="shared" si="68"/>
        <v>0.9870548484758711</v>
      </c>
      <c r="H60" s="87">
        <f t="shared" si="68"/>
        <v>0.66197250349058379</v>
      </c>
      <c r="I60" s="87">
        <f t="shared" si="68"/>
        <v>0.70160515660501765</v>
      </c>
      <c r="J60" s="87">
        <f t="shared" ref="J60" si="70">IFERROR(J14/J16,0)</f>
        <v>0.75853678690576254</v>
      </c>
      <c r="K60" s="87">
        <f t="shared" si="68"/>
        <v>0.13982662295534412</v>
      </c>
      <c r="L60" s="87">
        <f t="shared" si="68"/>
        <v>0.18140547327220705</v>
      </c>
      <c r="M60" s="87">
        <f t="shared" si="68"/>
        <v>0.26764746005748341</v>
      </c>
      <c r="N60" s="87">
        <f t="shared" si="68"/>
        <v>0.3249792690872475</v>
      </c>
      <c r="O60" s="87">
        <f t="shared" si="68"/>
        <v>0.37185144222091654</v>
      </c>
      <c r="P60" s="87">
        <f t="shared" ref="P60" si="71">IFERROR(P14/P16,0)</f>
        <v>0.43467951291088835</v>
      </c>
      <c r="Q60" s="87">
        <f t="shared" si="68"/>
        <v>0.95377280678443954</v>
      </c>
      <c r="R60" s="87">
        <f t="shared" si="68"/>
        <v>0.80334067944733356</v>
      </c>
      <c r="S60" s="87">
        <f t="shared" si="68"/>
        <v>0.81915518773914908</v>
      </c>
      <c r="T60" s="87">
        <f t="shared" si="68"/>
        <v>0.55740836717601761</v>
      </c>
      <c r="U60" s="87">
        <f t="shared" si="68"/>
        <v>0.49947310221076713</v>
      </c>
      <c r="V60" s="87">
        <f t="shared" ref="V60" si="72">IFERROR(V14/V16,0)</f>
        <v>0.47466753223213698</v>
      </c>
    </row>
    <row r="61" spans="1:22" x14ac:dyDescent="0.2">
      <c r="A61" s="96" t="s">
        <v>75</v>
      </c>
      <c r="B61" s="86">
        <f t="shared" ref="B61:U61" si="73">IFERROR(B16/B32,0)</f>
        <v>-13.364141741178349</v>
      </c>
      <c r="C61" s="86">
        <f t="shared" si="73"/>
        <v>-18.109296535832872</v>
      </c>
      <c r="D61" s="86">
        <f t="shared" ref="D61" si="74">IFERROR(D16/D32,0)</f>
        <v>-14.295035022964015</v>
      </c>
      <c r="E61" s="86">
        <f t="shared" si="73"/>
        <v>-2.9073506759989125</v>
      </c>
      <c r="F61" s="86">
        <f t="shared" si="73"/>
        <v>45.088631325998257</v>
      </c>
      <c r="G61" s="86">
        <f t="shared" si="73"/>
        <v>18.858934485180882</v>
      </c>
      <c r="H61" s="86">
        <f t="shared" si="73"/>
        <v>-61.233793643227621</v>
      </c>
      <c r="I61" s="86">
        <f t="shared" si="73"/>
        <v>14.675643840625419</v>
      </c>
      <c r="J61" s="86">
        <f t="shared" ref="J61" si="75">IFERROR(J16/J32,0)</f>
        <v>17.358233465034438</v>
      </c>
      <c r="K61" s="86">
        <f t="shared" si="73"/>
        <v>4.4180102555377099</v>
      </c>
      <c r="L61" s="86">
        <f t="shared" si="73"/>
        <v>4.1761333930991897</v>
      </c>
      <c r="M61" s="86">
        <f t="shared" si="73"/>
        <v>5.8581336827593118</v>
      </c>
      <c r="N61" s="86">
        <f t="shared" si="73"/>
        <v>31.956465160298119</v>
      </c>
      <c r="O61" s="86">
        <f t="shared" si="73"/>
        <v>18.127184128089105</v>
      </c>
      <c r="P61" s="86">
        <f t="shared" ref="P61" si="76">IFERROR(P16/P32,0)</f>
        <v>2.0776817878660503</v>
      </c>
      <c r="Q61" s="86">
        <f t="shared" si="73"/>
        <v>-2.3942811772807562</v>
      </c>
      <c r="R61" s="86">
        <f t="shared" si="73"/>
        <v>-2.4737804350748407</v>
      </c>
      <c r="S61" s="86">
        <f t="shared" si="73"/>
        <v>-2.0210901306285214</v>
      </c>
      <c r="T61" s="86">
        <f t="shared" si="73"/>
        <v>-12.026167395254243</v>
      </c>
      <c r="U61" s="86">
        <f t="shared" si="73"/>
        <v>-22.895336366736156</v>
      </c>
      <c r="V61" s="86">
        <f t="shared" ref="V61" si="77">IFERROR(V16/V32,0)</f>
        <v>-19.451288850062895</v>
      </c>
    </row>
    <row r="62" spans="1:22" x14ac:dyDescent="0.2">
      <c r="A62" s="97" t="s">
        <v>76</v>
      </c>
      <c r="B62" s="86">
        <f t="shared" ref="B62:U62" si="78">IFERROR(B15/B32,0)</f>
        <v>-6.2382640635239452</v>
      </c>
      <c r="C62" s="86">
        <f t="shared" si="78"/>
        <v>-9.5046580977609736</v>
      </c>
      <c r="D62" s="86">
        <f t="shared" ref="D62" si="79">IFERROR(D15/D32,0)</f>
        <v>-7.873459493271862</v>
      </c>
      <c r="E62" s="86">
        <f t="shared" si="78"/>
        <v>-2.2032523460572488E-2</v>
      </c>
      <c r="F62" s="86">
        <f t="shared" si="78"/>
        <v>0.47283097599143148</v>
      </c>
      <c r="G62" s="86">
        <f t="shared" si="78"/>
        <v>0.24413176449428614</v>
      </c>
      <c r="H62" s="86">
        <f t="shared" si="78"/>
        <v>-20.698705966994439</v>
      </c>
      <c r="I62" s="86">
        <f t="shared" si="78"/>
        <v>4.3791364455439599</v>
      </c>
      <c r="J62" s="86">
        <f t="shared" ref="J62" si="80">IFERROR(J15/J32,0)</f>
        <v>4.1913748261071353</v>
      </c>
      <c r="K62" s="86">
        <f t="shared" si="78"/>
        <v>3.8002548013237947</v>
      </c>
      <c r="L62" s="86">
        <f t="shared" si="78"/>
        <v>3.4185599384761636</v>
      </c>
      <c r="M62" s="86">
        <f t="shared" si="78"/>
        <v>4.2902190818915908</v>
      </c>
      <c r="N62" s="86">
        <f t="shared" si="78"/>
        <v>21.571276469892346</v>
      </c>
      <c r="O62" s="86">
        <f t="shared" si="78"/>
        <v>11.386564566655064</v>
      </c>
      <c r="P62" s="86">
        <f t="shared" ref="P62" si="81">IFERROR(P15/P32,0)</f>
        <v>1.1745560803326118</v>
      </c>
      <c r="Q62" s="86">
        <f t="shared" si="78"/>
        <v>-0.11068089859453709</v>
      </c>
      <c r="R62" s="86">
        <f t="shared" si="78"/>
        <v>-0.48649197955829776</v>
      </c>
      <c r="S62" s="86">
        <f t="shared" si="78"/>
        <v>-0.36550366523577366</v>
      </c>
      <c r="T62" s="86">
        <f t="shared" si="78"/>
        <v>-5.3226810640801157</v>
      </c>
      <c r="U62" s="86">
        <f t="shared" si="78"/>
        <v>-11.459731685483455</v>
      </c>
      <c r="V62" s="86">
        <f t="shared" ref="V62" si="82">IFERROR(V15/V32,0)</f>
        <v>-10.218393572869058</v>
      </c>
    </row>
    <row r="63" spans="1:22" x14ac:dyDescent="0.2">
      <c r="A63" s="96" t="s">
        <v>77</v>
      </c>
      <c r="B63" s="86">
        <f t="shared" ref="B63:U63" si="83">IFERROR(B16/B12,0)</f>
        <v>1.0808790469191674</v>
      </c>
      <c r="C63" s="86">
        <f t="shared" si="83"/>
        <v>1.0584477566278456</v>
      </c>
      <c r="D63" s="86">
        <f t="shared" ref="D63" si="84">IFERROR(D16/D12,0)</f>
        <v>1.0752160485679607</v>
      </c>
      <c r="E63" s="86">
        <f t="shared" si="83"/>
        <v>1.524287438373797</v>
      </c>
      <c r="F63" s="86">
        <f t="shared" si="83"/>
        <v>0.97830267527523851</v>
      </c>
      <c r="G63" s="86">
        <f t="shared" si="83"/>
        <v>0.94964483110882814</v>
      </c>
      <c r="H63" s="86">
        <f t="shared" si="83"/>
        <v>1.0166019760588736</v>
      </c>
      <c r="I63" s="86">
        <f t="shared" si="83"/>
        <v>0.93620676699681238</v>
      </c>
      <c r="J63" s="86">
        <f t="shared" ref="J63" si="85">IFERROR(J16/J12,0)</f>
        <v>0.94552852800872011</v>
      </c>
      <c r="K63" s="86">
        <f t="shared" si="83"/>
        <v>0.81543039735336287</v>
      </c>
      <c r="L63" s="86">
        <f t="shared" si="83"/>
        <v>0.8068055971406769</v>
      </c>
      <c r="M63" s="86">
        <f t="shared" si="83"/>
        <v>0.85418773586844721</v>
      </c>
      <c r="N63" s="86">
        <f t="shared" si="83"/>
        <v>0.96965693999231817</v>
      </c>
      <c r="O63" s="86">
        <f t="shared" si="83"/>
        <v>0.94771838900575767</v>
      </c>
      <c r="P63" s="86">
        <f t="shared" ref="P63" si="86">IFERROR(P16/P12,0)</f>
        <v>0.67508011908750232</v>
      </c>
      <c r="Q63" s="86">
        <f t="shared" si="83"/>
        <v>1.7172154485727791</v>
      </c>
      <c r="R63" s="86">
        <f t="shared" si="83"/>
        <v>1.6785271239872435</v>
      </c>
      <c r="S63" s="86">
        <f t="shared" si="83"/>
        <v>1.9793454759811071</v>
      </c>
      <c r="T63" s="86">
        <f t="shared" si="83"/>
        <v>1.0906933446730012</v>
      </c>
      <c r="U63" s="86">
        <f t="shared" si="83"/>
        <v>1.0456718263309817</v>
      </c>
      <c r="V63" s="86">
        <f t="shared" ref="V63" si="87">IFERROR(V16/V12,0)</f>
        <v>1.0541967560166721</v>
      </c>
    </row>
    <row r="64" spans="1:22" x14ac:dyDescent="0.2">
      <c r="A64" s="207" t="s">
        <v>107</v>
      </c>
      <c r="B64" s="208"/>
      <c r="C64" s="208"/>
      <c r="D64" s="208"/>
      <c r="E64" s="208"/>
      <c r="F64" s="208"/>
      <c r="G64" s="208"/>
      <c r="H64" s="208"/>
      <c r="I64" s="208"/>
      <c r="J64" s="208"/>
      <c r="K64" s="208"/>
      <c r="L64" s="208"/>
      <c r="M64" s="208"/>
      <c r="N64" s="208"/>
      <c r="O64" s="208"/>
      <c r="P64" s="208"/>
      <c r="Q64" s="208"/>
      <c r="R64" s="208"/>
      <c r="S64" s="208"/>
      <c r="T64" s="208"/>
      <c r="U64" s="208"/>
      <c r="V64" s="208"/>
    </row>
    <row r="65" spans="1:22" x14ac:dyDescent="0.2">
      <c r="A65" s="96" t="s">
        <v>79</v>
      </c>
      <c r="B65" s="86">
        <f t="shared" ref="B65:U65" si="88">IFERROR(B12/B16,0)</f>
        <v>0.92517289779120315</v>
      </c>
      <c r="C65" s="86">
        <f t="shared" si="88"/>
        <v>0.94477974348582239</v>
      </c>
      <c r="D65" s="86">
        <f t="shared" ref="D65" si="89">IFERROR(D12/D16,0)</f>
        <v>0.93004564183343608</v>
      </c>
      <c r="E65" s="86">
        <f t="shared" si="88"/>
        <v>0.65604424390380145</v>
      </c>
      <c r="F65" s="86">
        <f t="shared" si="88"/>
        <v>1.02217853970261</v>
      </c>
      <c r="G65" s="86">
        <f t="shared" si="88"/>
        <v>1.0530252650692322</v>
      </c>
      <c r="H65" s="86">
        <f t="shared" si="88"/>
        <v>0.98366914834925312</v>
      </c>
      <c r="I65" s="86">
        <f t="shared" si="88"/>
        <v>1.0681401109797841</v>
      </c>
      <c r="J65" s="86">
        <f t="shared" ref="J65" si="90">IFERROR(J12/J16,0)</f>
        <v>1.0576095489218043</v>
      </c>
      <c r="K65" s="86">
        <f t="shared" si="88"/>
        <v>1.226346237822006</v>
      </c>
      <c r="L65" s="86">
        <f t="shared" si="88"/>
        <v>1.2394559526408904</v>
      </c>
      <c r="M65" s="86">
        <f t="shared" si="88"/>
        <v>1.1707028303131821</v>
      </c>
      <c r="N65" s="86">
        <f t="shared" si="88"/>
        <v>1.0312925724101167</v>
      </c>
      <c r="O65" s="86">
        <f t="shared" si="88"/>
        <v>1.0551657661186573</v>
      </c>
      <c r="P65" s="86">
        <f t="shared" ref="P65" si="91">IFERROR(P12/P16,0)</f>
        <v>1.4813056579886963</v>
      </c>
      <c r="Q65" s="86">
        <f t="shared" si="88"/>
        <v>0.58233811070773045</v>
      </c>
      <c r="R65" s="86">
        <f t="shared" si="88"/>
        <v>0.59576040548249121</v>
      </c>
      <c r="S65" s="86">
        <f t="shared" si="88"/>
        <v>0.50521751363507039</v>
      </c>
      <c r="T65" s="86">
        <f t="shared" si="88"/>
        <v>0.91684798929419364</v>
      </c>
      <c r="U65" s="86">
        <f t="shared" si="88"/>
        <v>0.95632298281265415</v>
      </c>
      <c r="V65" s="86">
        <f t="shared" ref="V65" si="92">IFERROR(V12/V16,0)</f>
        <v>0.94858952495598936</v>
      </c>
    </row>
    <row r="66" spans="1:22" x14ac:dyDescent="0.2">
      <c r="A66" s="96" t="s">
        <v>80</v>
      </c>
      <c r="B66" s="86">
        <f t="shared" ref="B66:U66" si="93">IFERROR(B12/B14,0)</f>
        <v>1.735104404044191</v>
      </c>
      <c r="C66" s="86">
        <f t="shared" si="93"/>
        <v>1.988380645970137</v>
      </c>
      <c r="D66" s="86">
        <f t="shared" ref="D66" si="94">IFERROR(D12/D14,0)</f>
        <v>2.0703696408288406</v>
      </c>
      <c r="E66" s="86">
        <f t="shared" si="93"/>
        <v>0.66105385096646385</v>
      </c>
      <c r="F66" s="86">
        <f t="shared" si="93"/>
        <v>1.0330114211655335</v>
      </c>
      <c r="G66" s="86">
        <f t="shared" si="93"/>
        <v>1.0668356137404391</v>
      </c>
      <c r="H66" s="86">
        <f t="shared" si="93"/>
        <v>1.4859667783213979</v>
      </c>
      <c r="I66" s="86">
        <f t="shared" si="93"/>
        <v>1.5224234042810982</v>
      </c>
      <c r="J66" s="86">
        <f t="shared" ref="J66" si="95">IFERROR(J12/J14,0)</f>
        <v>1.3942758837524873</v>
      </c>
      <c r="K66" s="86">
        <f t="shared" si="93"/>
        <v>8.7704774091101338</v>
      </c>
      <c r="L66" s="86">
        <f t="shared" si="93"/>
        <v>6.8325168490425376</v>
      </c>
      <c r="M66" s="86">
        <f t="shared" si="93"/>
        <v>4.3740479736357187</v>
      </c>
      <c r="N66" s="86">
        <f t="shared" si="93"/>
        <v>3.173410338778393</v>
      </c>
      <c r="O66" s="86">
        <f t="shared" si="93"/>
        <v>2.8376003056935422</v>
      </c>
      <c r="P66" s="86">
        <f t="shared" ref="P66" si="96">IFERROR(P12/P14,0)</f>
        <v>3.4078110745752395</v>
      </c>
      <c r="Q66" s="86">
        <f t="shared" si="93"/>
        <v>0.61056271112512817</v>
      </c>
      <c r="R66" s="86">
        <f t="shared" si="93"/>
        <v>0.74160368163149748</v>
      </c>
      <c r="S66" s="86">
        <f t="shared" si="93"/>
        <v>0.61675433568266846</v>
      </c>
      <c r="T66" s="86">
        <f t="shared" si="93"/>
        <v>1.6448407366742537</v>
      </c>
      <c r="U66" s="86">
        <f t="shared" si="93"/>
        <v>1.9146636296925275</v>
      </c>
      <c r="V66" s="86">
        <f t="shared" ref="V66" si="97">IFERROR(V12/V14,0)</f>
        <v>1.9984293437876852</v>
      </c>
    </row>
    <row r="67" spans="1:22" x14ac:dyDescent="0.2">
      <c r="A67" s="207" t="s">
        <v>108</v>
      </c>
      <c r="B67" s="208"/>
      <c r="C67" s="208"/>
      <c r="D67" s="208"/>
      <c r="E67" s="208"/>
      <c r="F67" s="208"/>
      <c r="G67" s="208"/>
      <c r="H67" s="208"/>
      <c r="I67" s="208"/>
      <c r="J67" s="208"/>
      <c r="K67" s="208"/>
      <c r="L67" s="208"/>
      <c r="M67" s="208"/>
      <c r="N67" s="208"/>
      <c r="O67" s="208"/>
      <c r="P67" s="208"/>
      <c r="Q67" s="208"/>
      <c r="R67" s="208"/>
      <c r="S67" s="208"/>
      <c r="T67" s="208"/>
      <c r="U67" s="208"/>
      <c r="V67" s="208"/>
    </row>
    <row r="68" spans="1:22" x14ac:dyDescent="0.2">
      <c r="A68" s="96" t="s">
        <v>82</v>
      </c>
      <c r="B68" s="86">
        <f t="shared" ref="B68:U69" si="98">IFERROR(B11/B15,0)</f>
        <v>1.5205275262459068</v>
      </c>
      <c r="C68" s="86">
        <f t="shared" si="98"/>
        <v>1.3485186546345787</v>
      </c>
      <c r="D68" s="86">
        <f t="shared" ref="D68" si="99">IFERROR(D11/D15,0)</f>
        <v>1.3687578106859293</v>
      </c>
      <c r="E68" s="86">
        <f t="shared" si="98"/>
        <v>1.5386833986649278</v>
      </c>
      <c r="F68" s="86">
        <f t="shared" si="98"/>
        <v>1.8576302763677013</v>
      </c>
      <c r="G68" s="86">
        <f t="shared" si="98"/>
        <v>1.8647443206415533</v>
      </c>
      <c r="H68" s="86">
        <f t="shared" si="98"/>
        <v>1.8176592074587552</v>
      </c>
      <c r="I68" s="86">
        <f t="shared" si="98"/>
        <v>2.0019115280771937</v>
      </c>
      <c r="J68" s="86">
        <f t="shared" ref="J68" si="100">IFERROR(J11/J15,0)</f>
        <v>2.1556162678593189</v>
      </c>
      <c r="K68" s="86">
        <f t="shared" si="98"/>
        <v>0.99705676959374101</v>
      </c>
      <c r="L68" s="86">
        <f t="shared" si="98"/>
        <v>1.0189570360644842</v>
      </c>
      <c r="M68" s="86">
        <f t="shared" si="98"/>
        <v>1.0710215212748357</v>
      </c>
      <c r="N68" s="86">
        <f t="shared" si="98"/>
        <v>0.91404613309056604</v>
      </c>
      <c r="O68" s="86">
        <f t="shared" si="98"/>
        <v>0.95150640712119727</v>
      </c>
      <c r="P68" s="86">
        <f t="shared" ref="P68:P69" si="101">IFERROR(P11/P15,0)</f>
        <v>1.329929544902088</v>
      </c>
      <c r="Q68" s="86">
        <f t="shared" si="98"/>
        <v>1.570868689042078</v>
      </c>
      <c r="R68" s="86">
        <f t="shared" si="98"/>
        <v>0.29726774572988857</v>
      </c>
      <c r="S68" s="86">
        <f t="shared" si="98"/>
        <v>0.69077726562005259</v>
      </c>
      <c r="T68" s="86">
        <f t="shared" si="98"/>
        <v>1.4922904173768567</v>
      </c>
      <c r="U68" s="86">
        <f t="shared" si="98"/>
        <v>1.3377977053260093</v>
      </c>
      <c r="V68" s="86">
        <f t="shared" ref="V68" si="102">IFERROR(V11/V15,0)</f>
        <v>1.3671496544770403</v>
      </c>
    </row>
    <row r="69" spans="1:22" x14ac:dyDescent="0.2">
      <c r="A69" s="96" t="s">
        <v>83</v>
      </c>
      <c r="B69" s="86">
        <f t="shared" ref="B69:U69" si="103">IFERROR(B12/B16,0)</f>
        <v>0.92517289779120315</v>
      </c>
      <c r="C69" s="86">
        <f t="shared" si="103"/>
        <v>0.94477974348582239</v>
      </c>
      <c r="D69" s="86">
        <f t="shared" ref="D69" si="104">IFERROR(D12/D16,0)</f>
        <v>0.93004564183343608</v>
      </c>
      <c r="E69" s="86">
        <f t="shared" si="103"/>
        <v>0.65604424390380145</v>
      </c>
      <c r="F69" s="86">
        <f t="shared" si="103"/>
        <v>1.02217853970261</v>
      </c>
      <c r="G69" s="86">
        <f t="shared" si="98"/>
        <v>1.0530252650692322</v>
      </c>
      <c r="H69" s="86">
        <f t="shared" si="103"/>
        <v>0.98366914834925312</v>
      </c>
      <c r="I69" s="86">
        <f t="shared" si="103"/>
        <v>1.0681401109797841</v>
      </c>
      <c r="J69" s="86">
        <f t="shared" si="103"/>
        <v>1.0576095489218043</v>
      </c>
      <c r="K69" s="86">
        <f t="shared" si="103"/>
        <v>1.226346237822006</v>
      </c>
      <c r="L69" s="86">
        <f t="shared" si="103"/>
        <v>1.2394559526408904</v>
      </c>
      <c r="M69" s="86">
        <f t="shared" ref="M69" si="105">IFERROR(M12/M16,0)</f>
        <v>1.1707028303131821</v>
      </c>
      <c r="N69" s="86">
        <f t="shared" si="103"/>
        <v>1.0312925724101167</v>
      </c>
      <c r="O69" s="86">
        <f t="shared" si="103"/>
        <v>1.0551657661186573</v>
      </c>
      <c r="P69" s="86">
        <f t="shared" si="101"/>
        <v>1.4813056579886963</v>
      </c>
      <c r="Q69" s="86">
        <f t="shared" si="103"/>
        <v>0.58233811070773045</v>
      </c>
      <c r="R69" s="86">
        <f t="shared" si="103"/>
        <v>0.59576040548249121</v>
      </c>
      <c r="S69" s="86">
        <f t="shared" si="98"/>
        <v>0.50521751363507039</v>
      </c>
      <c r="T69" s="86">
        <f t="shared" si="103"/>
        <v>0.91684798929419364</v>
      </c>
      <c r="U69" s="86">
        <f t="shared" si="103"/>
        <v>0.95632298281265415</v>
      </c>
      <c r="V69" s="86">
        <f t="shared" ref="V69" si="106">IFERROR(V12/V16,0)</f>
        <v>0.94858952495598936</v>
      </c>
    </row>
    <row r="70" spans="1:22" x14ac:dyDescent="0.2">
      <c r="A70" s="207" t="s">
        <v>109</v>
      </c>
      <c r="B70" s="208"/>
      <c r="C70" s="208"/>
      <c r="D70" s="208"/>
      <c r="E70" s="208"/>
      <c r="F70" s="208"/>
      <c r="G70" s="208"/>
      <c r="H70" s="208"/>
      <c r="I70" s="208"/>
      <c r="J70" s="208"/>
      <c r="K70" s="208"/>
      <c r="L70" s="208"/>
      <c r="M70" s="208"/>
      <c r="N70" s="208"/>
      <c r="O70" s="208"/>
      <c r="P70" s="208"/>
      <c r="Q70" s="208"/>
      <c r="R70" s="208"/>
      <c r="S70" s="208"/>
      <c r="T70" s="208"/>
      <c r="U70" s="208"/>
      <c r="V70" s="208"/>
    </row>
    <row r="71" spans="1:22" x14ac:dyDescent="0.2">
      <c r="A71" s="96" t="s">
        <v>85</v>
      </c>
      <c r="B71" s="86">
        <f t="shared" ref="B71:U71" si="107">IFERROR(B32/B12,0)</f>
        <v>-8.0879046919167405E-2</v>
      </c>
      <c r="C71" s="86">
        <f t="shared" si="107"/>
        <v>-5.8447756627845515E-2</v>
      </c>
      <c r="D71" s="86">
        <f t="shared" ref="D71" si="108">IFERROR(D32/D12,0)</f>
        <v>-7.5216048567960714E-2</v>
      </c>
      <c r="E71" s="86">
        <f t="shared" si="107"/>
        <v>-0.5242874383737971</v>
      </c>
      <c r="F71" s="86">
        <f t="shared" si="107"/>
        <v>2.1697324724761512E-2</v>
      </c>
      <c r="G71" s="86">
        <f t="shared" si="107"/>
        <v>5.0355168891171843E-2</v>
      </c>
      <c r="H71" s="86">
        <f t="shared" si="107"/>
        <v>-1.6601976058873636E-2</v>
      </c>
      <c r="I71" s="86">
        <f t="shared" si="107"/>
        <v>6.3793233003187608E-2</v>
      </c>
      <c r="J71" s="86">
        <f t="shared" ref="J71" si="109">IFERROR(J32/J12,0)</f>
        <v>5.4471471991279857E-2</v>
      </c>
      <c r="K71" s="86">
        <f t="shared" si="107"/>
        <v>0.18456960264663713</v>
      </c>
      <c r="L71" s="86">
        <f t="shared" si="107"/>
        <v>0.19319440285932313</v>
      </c>
      <c r="M71" s="86">
        <f t="shared" si="107"/>
        <v>0.14581226413155285</v>
      </c>
      <c r="N71" s="86">
        <f t="shared" si="107"/>
        <v>3.0343060007681787E-2</v>
      </c>
      <c r="O71" s="86">
        <f t="shared" si="107"/>
        <v>5.2281610994242292E-2</v>
      </c>
      <c r="P71" s="86">
        <f t="shared" ref="P71" si="110">IFERROR(P32/P12,0)</f>
        <v>0.32491988091249768</v>
      </c>
      <c r="Q71" s="86">
        <f t="shared" si="107"/>
        <v>-0.71721544857277908</v>
      </c>
      <c r="R71" s="86">
        <f t="shared" si="107"/>
        <v>-0.67852712398724335</v>
      </c>
      <c r="S71" s="86">
        <f t="shared" si="107"/>
        <v>-0.97934547598110722</v>
      </c>
      <c r="T71" s="86">
        <f t="shared" si="107"/>
        <v>-9.0693344673001108E-2</v>
      </c>
      <c r="U71" s="86">
        <f t="shared" si="107"/>
        <v>-4.5671826330981623E-2</v>
      </c>
      <c r="V71" s="86">
        <f t="shared" ref="V71" si="111">IFERROR(V32/V12,0)</f>
        <v>-5.4196756016672051E-2</v>
      </c>
    </row>
    <row r="72" spans="1:22" x14ac:dyDescent="0.2">
      <c r="A72" s="207" t="s">
        <v>110</v>
      </c>
      <c r="B72" s="208"/>
      <c r="C72" s="208"/>
      <c r="D72" s="208"/>
      <c r="E72" s="208"/>
      <c r="F72" s="208"/>
      <c r="G72" s="208"/>
      <c r="H72" s="208"/>
      <c r="I72" s="208"/>
      <c r="J72" s="208"/>
      <c r="K72" s="208"/>
      <c r="L72" s="208"/>
      <c r="M72" s="208"/>
      <c r="N72" s="208"/>
      <c r="O72" s="208"/>
      <c r="P72" s="208"/>
      <c r="Q72" s="208"/>
      <c r="R72" s="208"/>
      <c r="S72" s="208"/>
      <c r="T72" s="208"/>
      <c r="U72" s="208"/>
      <c r="V72" s="208"/>
    </row>
    <row r="73" spans="1:22" x14ac:dyDescent="0.2">
      <c r="A73" s="96" t="s">
        <v>284</v>
      </c>
      <c r="B73" s="86">
        <f t="shared" ref="B73:U73" si="112">IFERROR(B40/B37,0)</f>
        <v>-2.2793155882799017E-2</v>
      </c>
      <c r="C73" s="86">
        <f t="shared" si="112"/>
        <v>0.11868020464869128</v>
      </c>
      <c r="D73" s="86">
        <f t="shared" ref="D73" si="113">IFERROR(D40/D37,0)</f>
        <v>6.7995054958676693E-2</v>
      </c>
      <c r="E73" s="86">
        <f t="shared" si="112"/>
        <v>-0.21336792464355905</v>
      </c>
      <c r="F73" s="86">
        <f t="shared" si="112"/>
        <v>-1.6407686831547752E-2</v>
      </c>
      <c r="G73" s="86">
        <f t="shared" si="112"/>
        <v>-0.23760299946087518</v>
      </c>
      <c r="H73" s="86">
        <f t="shared" si="112"/>
        <v>-4.9187452685979342E-2</v>
      </c>
      <c r="I73" s="86">
        <f t="shared" si="112"/>
        <v>6.9697378308161681E-2</v>
      </c>
      <c r="J73" s="86">
        <f t="shared" ref="J73" si="114">IFERROR(J40/J37,0)</f>
        <v>6.5204023608397707E-2</v>
      </c>
      <c r="K73" s="86">
        <f t="shared" si="112"/>
        <v>6.2630292877043775E-2</v>
      </c>
      <c r="L73" s="86">
        <f t="shared" si="112"/>
        <v>0.1564778730382613</v>
      </c>
      <c r="M73" s="86">
        <f t="shared" si="112"/>
        <v>3.0057257918771351E-2</v>
      </c>
      <c r="N73" s="86">
        <f t="shared" si="112"/>
        <v>-0.25710062997653754</v>
      </c>
      <c r="O73" s="86">
        <f t="shared" si="112"/>
        <v>-0.19944050748023201</v>
      </c>
      <c r="P73" s="86">
        <f t="shared" ref="P73" si="115">IFERROR(P40/P37,0)</f>
        <v>-0.21424244694190006</v>
      </c>
      <c r="Q73" s="86">
        <f t="shared" si="112"/>
        <v>6.54298515347711E-2</v>
      </c>
      <c r="R73" s="86">
        <f t="shared" si="112"/>
        <v>-6.7501835032316132E-2</v>
      </c>
      <c r="S73" s="86">
        <f t="shared" si="112"/>
        <v>-4.7436560065966138E-2</v>
      </c>
      <c r="T73" s="86">
        <f t="shared" si="112"/>
        <v>-4.6629610595436681E-2</v>
      </c>
      <c r="U73" s="86">
        <f t="shared" si="112"/>
        <v>9.1549093477217208E-2</v>
      </c>
      <c r="V73" s="86">
        <f t="shared" ref="V73" si="116">IFERROR(V40/V37,0)</f>
        <v>1.9622862021599605E-2</v>
      </c>
    </row>
    <row r="74" spans="1:22" x14ac:dyDescent="0.2">
      <c r="A74" s="96" t="s">
        <v>88</v>
      </c>
      <c r="B74" s="86">
        <f t="shared" ref="B74:U74" si="117">IFERROR(+B45/B37,0)</f>
        <v>-7.1153596582855708E-2</v>
      </c>
      <c r="C74" s="86">
        <f t="shared" si="117"/>
        <v>1.655457348048886E-2</v>
      </c>
      <c r="D74" s="86">
        <f t="shared" ref="D74" si="118">IFERROR(+D45/D37,0)</f>
        <v>-3.9212711735773176E-2</v>
      </c>
      <c r="E74" s="86">
        <f t="shared" si="117"/>
        <v>-0.24686329913105626</v>
      </c>
      <c r="F74" s="86">
        <f t="shared" si="117"/>
        <v>-2.6121764608125476E-2</v>
      </c>
      <c r="G74" s="86">
        <f t="shared" si="117"/>
        <v>-0.14716874023682378</v>
      </c>
      <c r="H74" s="86">
        <f t="shared" si="117"/>
        <v>-4.6309975871438272E-2</v>
      </c>
      <c r="I74" s="86">
        <f t="shared" si="117"/>
        <v>7.2495970572042795E-2</v>
      </c>
      <c r="J74" s="86">
        <f t="shared" ref="J74" si="119">IFERROR(+J45/J37,0)</f>
        <v>-2.1787828088495342E-2</v>
      </c>
      <c r="K74" s="86">
        <f t="shared" si="117"/>
        <v>7.2218106688232203E-3</v>
      </c>
      <c r="L74" s="86">
        <f t="shared" si="117"/>
        <v>7.3663403336638622E-2</v>
      </c>
      <c r="M74" s="86">
        <f t="shared" si="117"/>
        <v>-2.4565883663870594E-2</v>
      </c>
      <c r="N74" s="86">
        <f t="shared" si="117"/>
        <v>-7.9624600491418653E-3</v>
      </c>
      <c r="O74" s="86">
        <f t="shared" si="117"/>
        <v>2.9943108094620222E-3</v>
      </c>
      <c r="P74" s="86">
        <f t="shared" ref="P74" si="120">IFERROR(+P45/P37,0)</f>
        <v>-5.1828394432404598E-3</v>
      </c>
      <c r="Q74" s="86">
        <f t="shared" si="117"/>
        <v>6.0656084588523847E-2</v>
      </c>
      <c r="R74" s="86">
        <f t="shared" si="117"/>
        <v>-0.10435964445060117</v>
      </c>
      <c r="S74" s="86">
        <f t="shared" si="117"/>
        <v>2.4019057198549059E-2</v>
      </c>
      <c r="T74" s="86">
        <f t="shared" si="117"/>
        <v>-8.5070366280589962E-2</v>
      </c>
      <c r="U74" s="86">
        <f t="shared" si="117"/>
        <v>1.3577209987942795E-2</v>
      </c>
      <c r="V74" s="86">
        <f t="shared" ref="V74" si="121">IFERROR(+V45/V37,0)</f>
        <v>-5.018212540225455E-2</v>
      </c>
    </row>
    <row r="75" spans="1:22" x14ac:dyDescent="0.2">
      <c r="A75" s="207" t="s">
        <v>89</v>
      </c>
      <c r="B75" s="208"/>
      <c r="C75" s="208"/>
      <c r="D75" s="208"/>
      <c r="E75" s="208"/>
      <c r="F75" s="208"/>
      <c r="G75" s="208"/>
      <c r="H75" s="208"/>
      <c r="I75" s="208"/>
      <c r="J75" s="208"/>
      <c r="K75" s="208"/>
      <c r="L75" s="208"/>
      <c r="M75" s="208"/>
      <c r="N75" s="208"/>
      <c r="O75" s="208"/>
      <c r="P75" s="208"/>
      <c r="Q75" s="208"/>
      <c r="R75" s="208"/>
      <c r="S75" s="208"/>
      <c r="T75" s="208"/>
      <c r="U75" s="208"/>
      <c r="V75" s="208"/>
    </row>
    <row r="76" spans="1:22" x14ac:dyDescent="0.2">
      <c r="A76" s="204" t="s">
        <v>194</v>
      </c>
      <c r="B76" s="205">
        <f t="shared" ref="B76:H76" si="122">B10-B14</f>
        <v>-6144327206000</v>
      </c>
      <c r="C76" s="205">
        <f t="shared" si="122"/>
        <v>-4773494352000</v>
      </c>
      <c r="D76" s="205">
        <f t="shared" si="122"/>
        <v>-5762276133000</v>
      </c>
      <c r="E76" s="205">
        <f t="shared" si="122"/>
        <v>-499518547000</v>
      </c>
      <c r="F76" s="205">
        <f t="shared" si="122"/>
        <v>13818299000</v>
      </c>
      <c r="G76" s="205">
        <f t="shared" si="122"/>
        <v>35791419000</v>
      </c>
      <c r="H76" s="205">
        <f t="shared" si="122"/>
        <v>-240968780000</v>
      </c>
      <c r="I76" s="205">
        <f t="shared" ref="I76:U76" si="123">I10-I14</f>
        <v>-125529926000</v>
      </c>
      <c r="J76" s="205">
        <f>J10-J14</f>
        <v>-131349365000</v>
      </c>
      <c r="K76" s="205">
        <f t="shared" ref="K76:L76" si="124">K10-K14</f>
        <v>129462759000</v>
      </c>
      <c r="L76" s="205">
        <f t="shared" si="124"/>
        <v>109458328000</v>
      </c>
      <c r="M76" s="205">
        <f>M10-M14</f>
        <v>61074851000</v>
      </c>
      <c r="N76" s="205">
        <f t="shared" ref="N76:O76" si="125">N10-N14</f>
        <v>24126000000</v>
      </c>
      <c r="O76" s="205">
        <f t="shared" si="125"/>
        <v>22297000000</v>
      </c>
      <c r="P76" s="205">
        <f>P10-P14</f>
        <v>104358130872</v>
      </c>
      <c r="Q76" s="205">
        <f t="shared" si="123"/>
        <v>-63215858000</v>
      </c>
      <c r="R76" s="205">
        <f t="shared" si="123"/>
        <v>-46172286000</v>
      </c>
      <c r="S76" s="205">
        <f>S10-S14</f>
        <v>-64914987000</v>
      </c>
      <c r="T76" s="205">
        <f t="shared" si="123"/>
        <v>-6794441632000</v>
      </c>
      <c r="U76" s="205">
        <f t="shared" si="123"/>
        <v>-4799622937000</v>
      </c>
      <c r="V76" s="205">
        <f t="shared" ref="V76" si="126">V10-V14</f>
        <v>-5757316084128</v>
      </c>
    </row>
    <row r="77" spans="1:22" x14ac:dyDescent="0.2">
      <c r="A77" s="207" t="s">
        <v>219</v>
      </c>
      <c r="B77" s="208"/>
      <c r="C77" s="208"/>
      <c r="D77" s="208"/>
      <c r="E77" s="208"/>
      <c r="F77" s="208"/>
      <c r="G77" s="208"/>
      <c r="H77" s="208"/>
      <c r="I77" s="208"/>
      <c r="J77" s="208"/>
      <c r="K77" s="208"/>
      <c r="L77" s="208"/>
      <c r="M77" s="208"/>
      <c r="N77" s="208"/>
      <c r="O77" s="208"/>
      <c r="P77" s="208"/>
      <c r="Q77" s="208"/>
      <c r="R77" s="208"/>
      <c r="S77" s="208"/>
      <c r="T77" s="208"/>
      <c r="U77" s="208"/>
      <c r="V77" s="208"/>
    </row>
    <row r="78" spans="1:22" x14ac:dyDescent="0.2">
      <c r="A78" s="96" t="s">
        <v>220</v>
      </c>
      <c r="B78" s="86"/>
      <c r="C78" s="86">
        <f>IFERROR(C12/B12-1,"")</f>
        <v>5.8760057307361224E-2</v>
      </c>
      <c r="D78" s="86"/>
      <c r="E78" s="86"/>
      <c r="F78" s="86">
        <f>IFERROR(F12/E12-1,"")</f>
        <v>0.13775516777366681</v>
      </c>
      <c r="G78" s="86"/>
      <c r="H78" s="86"/>
      <c r="I78" s="86">
        <f>IFERROR(I12/H12-1,"")</f>
        <v>-0.28263831978836862</v>
      </c>
      <c r="J78" s="86"/>
      <c r="K78" s="86"/>
      <c r="L78" s="86">
        <f>IFERROR(L12/K12-1,"")</f>
        <v>-0.12662974420184714</v>
      </c>
      <c r="M78" s="86"/>
      <c r="N78" s="86"/>
      <c r="O78" s="86">
        <f>IFERROR(O12/N12-1,"")</f>
        <v>-1.3708759750306054E-2</v>
      </c>
      <c r="P78" s="86"/>
      <c r="Q78" s="86"/>
      <c r="R78" s="86">
        <f>IFERROR(R12/Q12-1,"")</f>
        <v>0.24720255572371141</v>
      </c>
      <c r="S78" s="86"/>
      <c r="T78" s="86"/>
      <c r="U78" s="86">
        <f>IFERROR(U12/T12-1,"")</f>
        <v>4.256002354566002E-2</v>
      </c>
    </row>
    <row r="79" spans="1:22" x14ac:dyDescent="0.2">
      <c r="A79" s="96" t="s">
        <v>221</v>
      </c>
      <c r="B79" s="86"/>
      <c r="C79" s="86">
        <f>IFERROR(C16/B16-1,"")</f>
        <v>3.678779846673419E-2</v>
      </c>
      <c r="D79" s="86"/>
      <c r="E79" s="86"/>
      <c r="F79" s="86">
        <f>IFERROR(F16/E16-1,"")</f>
        <v>-0.26977753905215152</v>
      </c>
      <c r="G79" s="86"/>
      <c r="H79" s="86"/>
      <c r="I79" s="86">
        <f>IFERROR(I16/H16-1,"")</f>
        <v>-0.33936892194331236</v>
      </c>
      <c r="J79" s="86"/>
      <c r="K79" s="86"/>
      <c r="L79" s="86">
        <f>IFERROR(L16/K16-1,"")</f>
        <v>-0.13586737379280933</v>
      </c>
      <c r="M79" s="86"/>
      <c r="N79" s="86"/>
      <c r="O79" s="86">
        <f>IFERROR(O16/N16-1,"")</f>
        <v>-3.6023662856127459E-2</v>
      </c>
      <c r="P79" s="86"/>
      <c r="Q79" s="86"/>
      <c r="R79" s="86">
        <f>IFERROR(R16/Q16-1,"")</f>
        <v>0.21910347395744156</v>
      </c>
      <c r="S79" s="86"/>
      <c r="T79" s="86"/>
      <c r="U79" s="86">
        <f>IFERROR(U16/T16-1,"")</f>
        <v>-4.7465293051263124E-4</v>
      </c>
    </row>
    <row r="80" spans="1:22" x14ac:dyDescent="0.2">
      <c r="A80" s="96" t="s">
        <v>222</v>
      </c>
      <c r="B80" s="86"/>
      <c r="C80" s="86">
        <f>IFERROR(C32/B32-1,"")</f>
        <v>-0.23488032421263549</v>
      </c>
      <c r="D80" s="86"/>
      <c r="E80" s="86"/>
      <c r="F80" s="86">
        <f>IFERROR(F32/E32-1,"")</f>
        <v>-1.0470853229080426</v>
      </c>
      <c r="G80" s="86"/>
      <c r="H80" s="86"/>
      <c r="I80" s="86">
        <f>IFERROR(I32/H32-1,"")</f>
        <v>-3.7564683054002397</v>
      </c>
      <c r="J80" s="86"/>
      <c r="K80" s="86"/>
      <c r="L80" s="86">
        <f>IFERROR(L32/K32-1,"")</f>
        <v>-8.581780193211741E-2</v>
      </c>
      <c r="M80" s="86"/>
      <c r="N80" s="86"/>
      <c r="O80" s="86">
        <f>IFERROR(O32/N32-1,"")</f>
        <v>0.69939666390630539</v>
      </c>
      <c r="P80" s="86"/>
      <c r="Q80" s="86"/>
      <c r="R80" s="86">
        <f>IFERROR(R32/Q32-1,"")</f>
        <v>0.17992545315185837</v>
      </c>
      <c r="S80" s="86"/>
      <c r="T80" s="86"/>
      <c r="U80" s="86">
        <f>IFERROR(U32/T32-1,"")</f>
        <v>-0.47498219955740162</v>
      </c>
    </row>
    <row r="81" spans="1:21" x14ac:dyDescent="0.2">
      <c r="A81" s="96" t="s">
        <v>61</v>
      </c>
      <c r="B81" s="86"/>
      <c r="C81" s="86">
        <f>IFERROR(C37/B37-1,"")</f>
        <v>0.20558159423781364</v>
      </c>
      <c r="D81" s="86"/>
      <c r="E81" s="86"/>
      <c r="F81" s="86">
        <f>IFERROR(F37/E37-1,"")</f>
        <v>0.31186134456507486</v>
      </c>
      <c r="G81" s="86"/>
      <c r="H81" s="86"/>
      <c r="I81" s="86">
        <f>IFERROR(I37/H37-1,"")</f>
        <v>0.24720417083298796</v>
      </c>
      <c r="J81" s="86"/>
      <c r="K81" s="86"/>
      <c r="L81" s="86">
        <f>IFERROR(L37/K37-1,"")</f>
        <v>7.6181840801617273E-2</v>
      </c>
      <c r="M81" s="86"/>
      <c r="N81" s="86"/>
      <c r="O81" s="86">
        <f>IFERROR(O37/N37-1,"")</f>
        <v>0.33268303497201135</v>
      </c>
      <c r="P81" s="86"/>
      <c r="Q81" s="86"/>
      <c r="R81" s="86">
        <f>IFERROR(R37/Q37-1,"")</f>
        <v>0.20066836267137456</v>
      </c>
      <c r="S81" s="86"/>
      <c r="T81" s="86"/>
      <c r="U81" s="86">
        <f>IFERROR(U37/T37-1,"")</f>
        <v>0.21784883776932906</v>
      </c>
    </row>
    <row r="82" spans="1:21" x14ac:dyDescent="0.2">
      <c r="A82" s="96" t="s">
        <v>223</v>
      </c>
      <c r="B82" s="86"/>
      <c r="C82" s="86" t="str">
        <f>IFERROR(C38/B38-1,"")</f>
        <v/>
      </c>
      <c r="D82" s="86"/>
      <c r="E82" s="86"/>
      <c r="F82" s="86">
        <f>IFERROR(F38/E38-1,"")</f>
        <v>0.13588634557104329</v>
      </c>
      <c r="G82" s="86"/>
      <c r="H82" s="86"/>
      <c r="I82" s="86" t="str">
        <f>IFERROR(I38/H38-1,"")</f>
        <v/>
      </c>
      <c r="J82" s="86"/>
      <c r="K82" s="86"/>
      <c r="L82" s="86">
        <f>IFERROR(L38/K38-1,"")</f>
        <v>-4.8603488494887381E-2</v>
      </c>
      <c r="M82" s="86"/>
      <c r="N82" s="86"/>
      <c r="O82" s="86">
        <f>IFERROR(O38/N38-1,"")</f>
        <v>0.24924491135915949</v>
      </c>
      <c r="P82" s="86"/>
      <c r="Q82" s="86"/>
      <c r="R82" s="86" t="str">
        <f>IFERROR(R38/Q38-1,"")</f>
        <v/>
      </c>
      <c r="S82" s="86"/>
      <c r="T82" s="86"/>
      <c r="U82" s="86">
        <f>IFERROR(U38/T38-1,"")</f>
        <v>0.11907458135748694</v>
      </c>
    </row>
    <row r="83" spans="1:21" x14ac:dyDescent="0.2">
      <c r="A83" s="96" t="s">
        <v>224</v>
      </c>
      <c r="B83" s="86"/>
      <c r="C83" s="86">
        <f>IFERROR(C39/B39-1,"")</f>
        <v>3.8824827680725704E-2</v>
      </c>
      <c r="D83" s="86"/>
      <c r="E83" s="86"/>
      <c r="F83" s="86">
        <f>IFERROR(F39/E39-1,"")</f>
        <v>-2.514404022411231</v>
      </c>
      <c r="G83" s="86"/>
      <c r="H83" s="86"/>
      <c r="I83" s="86">
        <f>IFERROR(I39/H39-1,"")</f>
        <v>0.10588180114101475</v>
      </c>
      <c r="J83" s="86"/>
      <c r="K83" s="86"/>
      <c r="L83" s="86">
        <f>IFERROR(L39/K39-1,"")</f>
        <v>0.24616195220179349</v>
      </c>
      <c r="M83" s="86"/>
      <c r="N83" s="86"/>
      <c r="O83" s="86">
        <f>IFERROR(O39/N39-1,"")</f>
        <v>0.42478551441851864</v>
      </c>
      <c r="P83" s="86"/>
      <c r="Q83" s="86"/>
      <c r="R83" s="86">
        <f>IFERROR(R39/Q39-1,"")</f>
        <v>0.37144941181975444</v>
      </c>
      <c r="S83" s="86"/>
      <c r="T83" s="86"/>
      <c r="U83" s="86">
        <f>IFERROR(U39/T39-1,"")</f>
        <v>4.3250581280067424E-2</v>
      </c>
    </row>
    <row r="84" spans="1:21" x14ac:dyDescent="0.2">
      <c r="A84" s="96" t="s">
        <v>64</v>
      </c>
      <c r="B84" s="86"/>
      <c r="C84" s="86">
        <f>IFERROR(C40/B40-1,"")</f>
        <v>-7.2772645903244282</v>
      </c>
      <c r="D84" s="86"/>
      <c r="E84" s="86"/>
      <c r="F84" s="86">
        <f>IFERROR(F40/E40-1,"")</f>
        <v>-0.89911974752533796</v>
      </c>
      <c r="G84" s="86"/>
      <c r="H84" s="86"/>
      <c r="I84" s="86">
        <f>IFERROR(I40/H40-1,"")</f>
        <v>-2.7672568139891087</v>
      </c>
      <c r="J84" s="86"/>
      <c r="K84" s="86"/>
      <c r="L84" s="86">
        <f>IFERROR(L40/K40-1,"")</f>
        <v>1.6887730795326026</v>
      </c>
      <c r="M84" s="86"/>
      <c r="N84" s="86"/>
      <c r="O84" s="86">
        <f>IFERROR(O40/N40-1,"")</f>
        <v>3.3801359527470876E-2</v>
      </c>
      <c r="P84" s="86"/>
      <c r="Q84" s="86"/>
      <c r="R84" s="86">
        <f>IFERROR(R40/Q40-1,"")</f>
        <v>-2.2386902284577799</v>
      </c>
      <c r="S84" s="86"/>
      <c r="T84" s="86"/>
      <c r="U84" s="86">
        <f>IFERROR(U40/T40-1,"")</f>
        <v>-3.3910334155991366</v>
      </c>
    </row>
    <row r="85" spans="1:21" x14ac:dyDescent="0.2">
      <c r="A85" s="216"/>
    </row>
    <row r="86" spans="1:21" x14ac:dyDescent="0.2">
      <c r="A86" s="216"/>
    </row>
    <row r="87" spans="1:21" x14ac:dyDescent="0.2">
      <c r="A87" s="216"/>
    </row>
    <row r="88" spans="1:21" x14ac:dyDescent="0.2">
      <c r="A88" s="216"/>
    </row>
    <row r="89" spans="1:21" x14ac:dyDescent="0.2">
      <c r="A89" s="216"/>
    </row>
    <row r="90" spans="1:21" x14ac:dyDescent="0.2">
      <c r="A90" s="216"/>
    </row>
    <row r="91" spans="1:21" x14ac:dyDescent="0.2">
      <c r="A91" s="216"/>
    </row>
    <row r="92" spans="1:21" x14ac:dyDescent="0.2">
      <c r="A92" s="216"/>
    </row>
    <row r="93" spans="1:21" x14ac:dyDescent="0.2">
      <c r="A93" s="216"/>
    </row>
    <row r="94" spans="1:21" x14ac:dyDescent="0.2">
      <c r="A94" s="216"/>
    </row>
    <row r="95" spans="1:21" x14ac:dyDescent="0.2">
      <c r="A95" s="216"/>
    </row>
    <row r="96" spans="1:21"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216"/>
    </row>
    <row r="127" spans="1:1" x14ac:dyDescent="0.2">
      <c r="A127" s="333" t="s">
        <v>103</v>
      </c>
    </row>
    <row r="128" spans="1:1" x14ac:dyDescent="0.2">
      <c r="A128" s="333"/>
    </row>
    <row r="129" spans="1:19" x14ac:dyDescent="0.2">
      <c r="A129" s="333" t="s">
        <v>447</v>
      </c>
    </row>
    <row r="130" spans="1:19" x14ac:dyDescent="0.2">
      <c r="A130" s="333"/>
    </row>
    <row r="131" spans="1:19" ht="24" x14ac:dyDescent="0.2">
      <c r="A131" s="244" t="s">
        <v>448</v>
      </c>
    </row>
    <row r="132" spans="1:19" x14ac:dyDescent="0.2">
      <c r="A132" s="216"/>
    </row>
    <row r="133" spans="1:19" x14ac:dyDescent="0.2">
      <c r="A133" s="216"/>
    </row>
    <row r="134" spans="1:19" x14ac:dyDescent="0.2">
      <c r="A134" s="216"/>
    </row>
    <row r="135" spans="1:19" x14ac:dyDescent="0.2">
      <c r="A135" s="216"/>
    </row>
    <row r="136" spans="1:19" x14ac:dyDescent="0.2">
      <c r="A136" s="216"/>
    </row>
    <row r="137" spans="1:19" x14ac:dyDescent="0.2">
      <c r="A137" s="216"/>
    </row>
    <row r="138" spans="1:19" x14ac:dyDescent="0.2">
      <c r="A138" s="216"/>
    </row>
    <row r="139" spans="1:19" x14ac:dyDescent="0.2">
      <c r="B139" s="245"/>
      <c r="C139" s="245"/>
      <c r="D139" s="245"/>
      <c r="E139" s="245"/>
      <c r="F139" s="245"/>
      <c r="G139" s="245"/>
      <c r="H139" s="245"/>
      <c r="I139" s="245"/>
      <c r="J139" s="245"/>
      <c r="K139" s="245"/>
      <c r="L139" s="245"/>
      <c r="M139" s="245"/>
      <c r="N139" s="245"/>
      <c r="O139" s="245"/>
      <c r="P139" s="245"/>
      <c r="Q139" s="245"/>
      <c r="R139" s="245"/>
      <c r="S139" s="245"/>
    </row>
    <row r="140" spans="1:19" x14ac:dyDescent="0.2">
      <c r="B140" s="245"/>
      <c r="C140" s="245"/>
      <c r="D140" s="245"/>
      <c r="E140" s="245"/>
      <c r="F140" s="245"/>
      <c r="G140" s="245"/>
      <c r="H140" s="245"/>
      <c r="I140" s="245"/>
      <c r="J140" s="245"/>
      <c r="K140" s="245"/>
      <c r="L140" s="245"/>
      <c r="M140" s="245"/>
      <c r="N140" s="245"/>
      <c r="O140" s="245"/>
      <c r="P140" s="245"/>
      <c r="Q140" s="245"/>
      <c r="R140" s="245"/>
      <c r="S140" s="245"/>
    </row>
    <row r="142" spans="1:19" x14ac:dyDescent="0.2">
      <c r="A142" s="244"/>
    </row>
    <row r="143" spans="1:19" x14ac:dyDescent="0.2">
      <c r="A143" s="216"/>
    </row>
    <row r="144" spans="1:19" x14ac:dyDescent="0.2">
      <c r="A144" s="216"/>
    </row>
    <row r="145" spans="1:19" x14ac:dyDescent="0.2">
      <c r="A145" s="216"/>
    </row>
    <row r="146" spans="1:19" x14ac:dyDescent="0.2">
      <c r="B146" s="245"/>
      <c r="C146" s="245"/>
      <c r="D146" s="245"/>
      <c r="E146" s="245"/>
      <c r="F146" s="245"/>
      <c r="G146" s="245"/>
      <c r="H146" s="245"/>
      <c r="I146" s="245"/>
      <c r="J146" s="245"/>
      <c r="K146" s="245"/>
      <c r="L146" s="245"/>
      <c r="M146" s="245"/>
      <c r="N146" s="245"/>
      <c r="O146" s="245"/>
      <c r="P146" s="245"/>
      <c r="Q146" s="245"/>
      <c r="R146" s="245"/>
      <c r="S146" s="245"/>
    </row>
    <row r="149" spans="1:19" x14ac:dyDescent="0.2">
      <c r="B149" s="245"/>
      <c r="C149" s="245"/>
      <c r="D149" s="245"/>
      <c r="E149" s="245"/>
      <c r="F149" s="245"/>
      <c r="G149" s="245"/>
      <c r="H149" s="245"/>
      <c r="I149" s="245"/>
      <c r="J149" s="245"/>
      <c r="K149" s="245"/>
      <c r="L149" s="245"/>
      <c r="M149" s="245"/>
      <c r="N149" s="245"/>
      <c r="O149" s="245"/>
      <c r="P149" s="245"/>
      <c r="Q149" s="245"/>
      <c r="R149" s="245"/>
      <c r="S149" s="245"/>
    </row>
    <row r="152" spans="1:19" x14ac:dyDescent="0.2">
      <c r="B152" s="245"/>
      <c r="C152" s="245"/>
      <c r="D152" s="245"/>
      <c r="E152" s="245"/>
      <c r="F152" s="245"/>
      <c r="G152" s="245"/>
      <c r="H152" s="245"/>
      <c r="I152" s="245"/>
      <c r="J152" s="245"/>
      <c r="K152" s="245"/>
      <c r="L152" s="245"/>
      <c r="M152" s="245"/>
      <c r="N152" s="245"/>
      <c r="O152" s="245"/>
      <c r="P152" s="245"/>
      <c r="Q152" s="245"/>
      <c r="R152" s="245"/>
      <c r="S152" s="245"/>
    </row>
    <row r="154" spans="1:19" x14ac:dyDescent="0.2">
      <c r="B154" s="245"/>
      <c r="C154" s="245"/>
      <c r="D154" s="245"/>
      <c r="E154" s="245"/>
      <c r="F154" s="245"/>
      <c r="G154" s="245"/>
      <c r="H154" s="245"/>
      <c r="I154" s="245"/>
      <c r="J154" s="245"/>
      <c r="K154" s="245"/>
      <c r="L154" s="245"/>
      <c r="M154" s="245"/>
      <c r="N154" s="245"/>
      <c r="O154" s="245"/>
      <c r="P154" s="245"/>
      <c r="Q154" s="245"/>
      <c r="R154" s="245"/>
      <c r="S154" s="245"/>
    </row>
    <row r="159" spans="1:19" x14ac:dyDescent="0.2">
      <c r="B159" s="228"/>
      <c r="C159" s="228"/>
      <c r="D159" s="228"/>
      <c r="E159" s="228"/>
      <c r="F159" s="228"/>
      <c r="G159" s="228"/>
      <c r="H159" s="228"/>
      <c r="I159" s="228"/>
      <c r="J159" s="228"/>
      <c r="K159" s="228"/>
      <c r="L159" s="228"/>
      <c r="M159" s="228"/>
      <c r="N159" s="228"/>
      <c r="O159" s="228"/>
      <c r="P159" s="228"/>
      <c r="Q159" s="228"/>
      <c r="R159" s="228"/>
      <c r="S159" s="228"/>
    </row>
    <row r="168" spans="1:19" s="216" customFormat="1" x14ac:dyDescent="0.2">
      <c r="A168" s="214"/>
    </row>
    <row r="169" spans="1:19" s="216" customFormat="1" x14ac:dyDescent="0.2"/>
    <row r="170" spans="1:19" s="216" customFormat="1" x14ac:dyDescent="0.2"/>
    <row r="175" spans="1:19" x14ac:dyDescent="0.2">
      <c r="B175" s="245"/>
      <c r="C175" s="245"/>
      <c r="D175" s="245"/>
      <c r="E175" s="245"/>
      <c r="F175" s="245"/>
      <c r="G175" s="245"/>
      <c r="H175" s="245"/>
      <c r="I175" s="245"/>
      <c r="J175" s="245"/>
      <c r="K175" s="245"/>
      <c r="L175" s="245"/>
      <c r="M175" s="245"/>
      <c r="N175" s="245"/>
      <c r="O175" s="245"/>
      <c r="P175" s="245"/>
      <c r="Q175" s="245"/>
      <c r="R175" s="245"/>
      <c r="S175" s="245"/>
    </row>
    <row r="180" spans="2:19" x14ac:dyDescent="0.2">
      <c r="B180" s="245"/>
      <c r="C180" s="245"/>
      <c r="D180" s="245"/>
      <c r="E180" s="245"/>
      <c r="F180" s="245"/>
      <c r="G180" s="245"/>
      <c r="H180" s="245"/>
      <c r="I180" s="245"/>
      <c r="J180" s="245"/>
      <c r="K180" s="245"/>
      <c r="L180" s="245"/>
      <c r="M180" s="245"/>
      <c r="N180" s="245"/>
      <c r="O180" s="245"/>
      <c r="P180" s="245"/>
      <c r="Q180" s="245"/>
      <c r="R180" s="245"/>
      <c r="S180" s="245"/>
    </row>
    <row r="185" spans="2:19" x14ac:dyDescent="0.2">
      <c r="B185" s="245"/>
      <c r="C185" s="245"/>
      <c r="D185" s="245"/>
      <c r="E185" s="245"/>
      <c r="F185" s="245"/>
      <c r="G185" s="245"/>
      <c r="H185" s="245"/>
      <c r="I185" s="245"/>
      <c r="J185" s="245"/>
      <c r="K185" s="245"/>
      <c r="L185" s="245"/>
      <c r="M185" s="245"/>
      <c r="N185" s="245"/>
      <c r="O185" s="245"/>
      <c r="P185" s="245"/>
      <c r="Q185" s="245"/>
      <c r="R185" s="245"/>
      <c r="S185" s="245"/>
    </row>
    <row r="186" spans="2:19" x14ac:dyDescent="0.2">
      <c r="B186" s="245"/>
      <c r="C186" s="245"/>
      <c r="D186" s="245"/>
      <c r="E186" s="245"/>
      <c r="F186" s="245"/>
      <c r="G186" s="245"/>
      <c r="H186" s="245"/>
      <c r="I186" s="245"/>
      <c r="J186" s="245"/>
      <c r="K186" s="245"/>
      <c r="L186" s="245"/>
      <c r="M186" s="245"/>
      <c r="N186" s="245"/>
      <c r="O186" s="245"/>
      <c r="P186" s="245"/>
      <c r="Q186" s="245"/>
      <c r="R186" s="245"/>
      <c r="S186" s="245"/>
    </row>
    <row r="190" spans="2:19" x14ac:dyDescent="0.2">
      <c r="B190" s="245"/>
      <c r="C190" s="245"/>
      <c r="D190" s="245"/>
      <c r="E190" s="245"/>
      <c r="F190" s="245"/>
      <c r="G190" s="245"/>
      <c r="H190" s="245"/>
      <c r="I190" s="245"/>
      <c r="J190" s="245"/>
      <c r="K190" s="245"/>
      <c r="L190" s="245"/>
      <c r="M190" s="245"/>
      <c r="N190" s="245"/>
      <c r="O190" s="245"/>
      <c r="P190" s="245"/>
      <c r="Q190" s="245"/>
      <c r="R190" s="245"/>
      <c r="S190" s="245"/>
    </row>
    <row r="196" spans="2:19" x14ac:dyDescent="0.2">
      <c r="B196" s="228"/>
      <c r="C196" s="216"/>
      <c r="D196" s="216"/>
      <c r="E196" s="228"/>
      <c r="F196" s="216"/>
      <c r="G196" s="216"/>
      <c r="H196" s="228"/>
      <c r="I196" s="216"/>
      <c r="J196" s="216"/>
      <c r="K196" s="216"/>
      <c r="L196" s="216"/>
      <c r="M196" s="216"/>
      <c r="N196" s="216"/>
      <c r="O196" s="216"/>
      <c r="P196" s="216"/>
      <c r="Q196" s="228"/>
      <c r="R196" s="216"/>
      <c r="S196" s="216"/>
    </row>
    <row r="197" spans="2:19" x14ac:dyDescent="0.2">
      <c r="B197" s="228"/>
      <c r="C197" s="216"/>
      <c r="D197" s="216"/>
      <c r="E197" s="228"/>
      <c r="F197" s="216"/>
      <c r="G197" s="216"/>
      <c r="H197" s="228"/>
      <c r="I197" s="216"/>
      <c r="J197" s="216"/>
      <c r="K197" s="216"/>
      <c r="L197" s="216"/>
      <c r="M197" s="216"/>
      <c r="N197" s="216"/>
      <c r="O197" s="216"/>
      <c r="P197" s="216"/>
      <c r="Q197" s="228"/>
      <c r="R197" s="216"/>
      <c r="S197" s="216"/>
    </row>
    <row r="198" spans="2:19" x14ac:dyDescent="0.2">
      <c r="B198" s="246"/>
      <c r="C198" s="245"/>
      <c r="D198" s="245"/>
      <c r="E198" s="246"/>
      <c r="F198" s="245"/>
      <c r="G198" s="245"/>
      <c r="H198" s="246"/>
      <c r="I198" s="245"/>
      <c r="J198" s="245"/>
      <c r="K198" s="245"/>
      <c r="L198" s="245"/>
      <c r="M198" s="245"/>
      <c r="N198" s="245"/>
      <c r="O198" s="245"/>
      <c r="P198" s="245"/>
      <c r="Q198" s="246"/>
      <c r="R198" s="245"/>
      <c r="S198" s="245"/>
    </row>
    <row r="199" spans="2:19" x14ac:dyDescent="0.2">
      <c r="B199" s="246"/>
      <c r="C199" s="245"/>
      <c r="D199" s="245"/>
      <c r="E199" s="246"/>
      <c r="F199" s="245"/>
      <c r="G199" s="245"/>
      <c r="H199" s="246"/>
      <c r="I199" s="245"/>
      <c r="J199" s="245"/>
      <c r="K199" s="245"/>
      <c r="L199" s="245"/>
      <c r="M199" s="245"/>
      <c r="N199" s="245"/>
      <c r="O199" s="245"/>
      <c r="P199" s="245"/>
      <c r="Q199" s="246"/>
      <c r="R199" s="245"/>
      <c r="S199" s="245"/>
    </row>
    <row r="200" spans="2:19" x14ac:dyDescent="0.2">
      <c r="B200" s="246"/>
      <c r="C200" s="245"/>
      <c r="D200" s="245"/>
      <c r="E200" s="246"/>
      <c r="F200" s="245"/>
      <c r="G200" s="245"/>
      <c r="H200" s="246"/>
      <c r="I200" s="245"/>
      <c r="J200" s="245"/>
      <c r="K200" s="245"/>
      <c r="L200" s="245"/>
      <c r="M200" s="245"/>
      <c r="N200" s="245"/>
      <c r="O200" s="245"/>
      <c r="P200" s="245"/>
      <c r="Q200" s="246"/>
      <c r="R200" s="245"/>
      <c r="S200" s="245"/>
    </row>
    <row r="201" spans="2:19" x14ac:dyDescent="0.2">
      <c r="B201" s="246"/>
      <c r="C201" s="245"/>
      <c r="D201" s="245"/>
      <c r="E201" s="246"/>
      <c r="F201" s="245"/>
      <c r="G201" s="245"/>
      <c r="H201" s="246"/>
      <c r="I201" s="245"/>
      <c r="J201" s="245"/>
      <c r="K201" s="245"/>
      <c r="L201" s="245"/>
      <c r="M201" s="245"/>
      <c r="N201" s="245"/>
      <c r="O201" s="245"/>
      <c r="P201" s="245"/>
      <c r="Q201" s="246"/>
      <c r="R201" s="245"/>
      <c r="S201" s="245"/>
    </row>
    <row r="202" spans="2:19" x14ac:dyDescent="0.2">
      <c r="B202" s="245"/>
      <c r="C202" s="245"/>
      <c r="D202" s="245"/>
      <c r="E202" s="245"/>
      <c r="F202" s="245"/>
      <c r="G202" s="245"/>
      <c r="H202" s="245"/>
      <c r="I202" s="245"/>
      <c r="J202" s="245"/>
      <c r="K202" s="245"/>
      <c r="L202" s="245"/>
      <c r="M202" s="245"/>
      <c r="N202" s="245"/>
      <c r="O202" s="245"/>
      <c r="P202" s="245"/>
      <c r="Q202" s="245"/>
      <c r="R202" s="245"/>
      <c r="S202" s="245"/>
    </row>
    <row r="203" spans="2:19" x14ac:dyDescent="0.2">
      <c r="B203" s="245"/>
      <c r="C203" s="245"/>
      <c r="D203" s="245"/>
      <c r="E203" s="245"/>
      <c r="F203" s="245"/>
      <c r="G203" s="245"/>
      <c r="H203" s="245"/>
      <c r="I203" s="245"/>
      <c r="J203" s="245"/>
      <c r="K203" s="245"/>
      <c r="L203" s="245"/>
      <c r="M203" s="245"/>
      <c r="N203" s="245"/>
      <c r="O203" s="245"/>
      <c r="P203" s="245"/>
      <c r="Q203" s="245"/>
      <c r="R203" s="245"/>
      <c r="S203" s="245"/>
    </row>
    <row r="204" spans="2:19" x14ac:dyDescent="0.2">
      <c r="B204" s="245"/>
      <c r="C204" s="245"/>
      <c r="D204" s="245"/>
      <c r="E204" s="245"/>
      <c r="F204" s="245"/>
      <c r="G204" s="245"/>
      <c r="H204" s="245"/>
      <c r="I204" s="245"/>
      <c r="J204" s="245"/>
      <c r="K204" s="245"/>
      <c r="L204" s="245"/>
      <c r="M204" s="245"/>
      <c r="N204" s="245"/>
      <c r="O204" s="245"/>
      <c r="P204" s="245"/>
      <c r="Q204" s="245"/>
      <c r="R204" s="245"/>
      <c r="S204" s="245"/>
    </row>
    <row r="205" spans="2:19" x14ac:dyDescent="0.2">
      <c r="B205" s="245"/>
      <c r="C205" s="245"/>
      <c r="D205" s="245"/>
      <c r="E205" s="245"/>
      <c r="F205" s="245"/>
      <c r="G205" s="245"/>
      <c r="H205" s="245"/>
      <c r="I205" s="245"/>
      <c r="J205" s="245"/>
      <c r="K205" s="245"/>
      <c r="L205" s="245"/>
      <c r="M205" s="245"/>
      <c r="N205" s="245"/>
      <c r="O205" s="245"/>
      <c r="P205" s="245"/>
      <c r="Q205" s="245"/>
      <c r="R205" s="245"/>
      <c r="S205" s="245"/>
    </row>
    <row r="206" spans="2:19" x14ac:dyDescent="0.2">
      <c r="B206" s="245"/>
      <c r="C206" s="245"/>
      <c r="D206" s="245"/>
      <c r="E206" s="245"/>
      <c r="F206" s="245"/>
      <c r="G206" s="245"/>
      <c r="H206" s="245"/>
      <c r="I206" s="245"/>
      <c r="J206" s="245"/>
      <c r="K206" s="245"/>
      <c r="L206" s="245"/>
      <c r="M206" s="245"/>
      <c r="N206" s="245"/>
      <c r="O206" s="245"/>
      <c r="P206" s="245"/>
      <c r="Q206" s="245"/>
      <c r="R206" s="245"/>
      <c r="S206" s="245"/>
    </row>
    <row r="207" spans="2:19" x14ac:dyDescent="0.2">
      <c r="B207" s="245"/>
      <c r="C207" s="245"/>
      <c r="D207" s="245"/>
      <c r="E207" s="245"/>
      <c r="F207" s="245"/>
      <c r="G207" s="245"/>
      <c r="H207" s="245"/>
      <c r="I207" s="245"/>
      <c r="J207" s="245"/>
      <c r="K207" s="245"/>
      <c r="L207" s="245"/>
      <c r="M207" s="245"/>
      <c r="N207" s="245"/>
      <c r="O207" s="245"/>
      <c r="P207" s="245"/>
      <c r="Q207" s="245"/>
      <c r="R207" s="245"/>
      <c r="S207" s="245"/>
    </row>
    <row r="208" spans="2:19" x14ac:dyDescent="0.2">
      <c r="B208" s="245"/>
      <c r="C208" s="245"/>
      <c r="D208" s="245"/>
      <c r="E208" s="245"/>
      <c r="F208" s="245"/>
      <c r="G208" s="245"/>
      <c r="H208" s="245"/>
      <c r="I208" s="245"/>
      <c r="J208" s="245"/>
      <c r="K208" s="245"/>
      <c r="L208" s="245"/>
      <c r="M208" s="245"/>
      <c r="N208" s="245"/>
      <c r="O208" s="245"/>
      <c r="P208" s="245"/>
      <c r="Q208" s="245"/>
      <c r="R208" s="245"/>
      <c r="S208" s="245"/>
    </row>
    <row r="209" spans="2:19" x14ac:dyDescent="0.2">
      <c r="B209" s="245"/>
      <c r="C209" s="245"/>
      <c r="D209" s="245"/>
      <c r="E209" s="245"/>
      <c r="F209" s="245"/>
      <c r="G209" s="245"/>
      <c r="H209" s="245"/>
      <c r="I209" s="245"/>
      <c r="J209" s="245"/>
      <c r="K209" s="245"/>
      <c r="L209" s="245"/>
      <c r="M209" s="245"/>
      <c r="N209" s="245"/>
      <c r="O209" s="245"/>
      <c r="P209" s="245"/>
      <c r="Q209" s="245"/>
      <c r="R209" s="245"/>
      <c r="S209" s="245"/>
    </row>
    <row r="210" spans="2:19" x14ac:dyDescent="0.2">
      <c r="B210" s="245"/>
      <c r="C210" s="245"/>
      <c r="D210" s="245"/>
      <c r="E210" s="245"/>
      <c r="F210" s="245"/>
      <c r="G210" s="245"/>
      <c r="H210" s="245"/>
      <c r="I210" s="245"/>
      <c r="J210" s="245"/>
      <c r="K210" s="245"/>
      <c r="L210" s="245"/>
      <c r="M210" s="245"/>
      <c r="N210" s="245"/>
      <c r="O210" s="245"/>
      <c r="P210" s="245"/>
      <c r="Q210" s="245"/>
      <c r="R210" s="245"/>
      <c r="S210" s="245"/>
    </row>
    <row r="211" spans="2:19" x14ac:dyDescent="0.2">
      <c r="B211" s="245"/>
      <c r="C211" s="245"/>
      <c r="D211" s="245"/>
      <c r="E211" s="245"/>
      <c r="F211" s="245"/>
      <c r="G211" s="245"/>
      <c r="H211" s="245"/>
      <c r="I211" s="245"/>
      <c r="J211" s="245"/>
      <c r="K211" s="245"/>
      <c r="L211" s="245"/>
      <c r="M211" s="245"/>
      <c r="N211" s="245"/>
      <c r="O211" s="245"/>
      <c r="P211" s="245"/>
      <c r="Q211" s="245"/>
      <c r="R211" s="245"/>
      <c r="S211" s="245"/>
    </row>
    <row r="212" spans="2:19" x14ac:dyDescent="0.2">
      <c r="B212" s="245"/>
      <c r="C212" s="245"/>
      <c r="D212" s="245"/>
      <c r="E212" s="245"/>
      <c r="F212" s="245"/>
      <c r="G212" s="245"/>
      <c r="H212" s="245"/>
      <c r="I212" s="245"/>
      <c r="J212" s="245"/>
      <c r="K212" s="245"/>
      <c r="L212" s="245"/>
      <c r="M212" s="245"/>
      <c r="N212" s="245"/>
      <c r="O212" s="245"/>
      <c r="P212" s="245"/>
      <c r="Q212" s="245"/>
      <c r="R212" s="245"/>
      <c r="S212" s="245"/>
    </row>
    <row r="213" spans="2:19" x14ac:dyDescent="0.2">
      <c r="B213" s="245"/>
      <c r="C213" s="245"/>
      <c r="D213" s="245"/>
      <c r="E213" s="245"/>
      <c r="F213" s="245"/>
      <c r="G213" s="245"/>
      <c r="H213" s="245"/>
      <c r="I213" s="245"/>
      <c r="J213" s="245"/>
      <c r="K213" s="245"/>
      <c r="L213" s="245"/>
      <c r="M213" s="245"/>
      <c r="N213" s="245"/>
      <c r="O213" s="245"/>
      <c r="P213" s="245"/>
      <c r="Q213" s="245"/>
      <c r="R213" s="245"/>
      <c r="S213" s="245"/>
    </row>
    <row r="214" spans="2:19" x14ac:dyDescent="0.2">
      <c r="B214" s="245"/>
      <c r="C214" s="245"/>
      <c r="D214" s="245"/>
      <c r="E214" s="245"/>
      <c r="F214" s="245"/>
      <c r="G214" s="245"/>
      <c r="H214" s="245"/>
      <c r="I214" s="245"/>
      <c r="J214" s="245"/>
      <c r="K214" s="245"/>
      <c r="L214" s="245"/>
      <c r="M214" s="245"/>
      <c r="N214" s="245"/>
      <c r="O214" s="245"/>
      <c r="P214" s="245"/>
      <c r="Q214" s="245"/>
      <c r="R214" s="245"/>
      <c r="S214" s="245"/>
    </row>
    <row r="215" spans="2:19" x14ac:dyDescent="0.2">
      <c r="B215" s="245"/>
      <c r="C215" s="245"/>
      <c r="D215" s="245"/>
      <c r="E215" s="245"/>
      <c r="F215" s="245"/>
      <c r="G215" s="245"/>
      <c r="H215" s="245"/>
      <c r="I215" s="245"/>
      <c r="J215" s="245"/>
      <c r="K215" s="245"/>
      <c r="L215" s="245"/>
      <c r="M215" s="245"/>
      <c r="N215" s="245"/>
      <c r="O215" s="245"/>
      <c r="P215" s="245"/>
      <c r="Q215" s="245"/>
      <c r="R215" s="245"/>
      <c r="S215" s="245"/>
    </row>
    <row r="216" spans="2:19" x14ac:dyDescent="0.2">
      <c r="B216" s="245"/>
      <c r="C216" s="245"/>
      <c r="D216" s="245"/>
      <c r="E216" s="245"/>
      <c r="F216" s="245"/>
      <c r="G216" s="245"/>
      <c r="H216" s="245"/>
      <c r="I216" s="245"/>
      <c r="J216" s="245"/>
      <c r="K216" s="245"/>
      <c r="L216" s="245"/>
      <c r="M216" s="245"/>
      <c r="N216" s="245"/>
      <c r="O216" s="245"/>
      <c r="P216" s="245"/>
      <c r="Q216" s="245"/>
      <c r="R216" s="245"/>
      <c r="S216" s="245"/>
    </row>
    <row r="217" spans="2:19" x14ac:dyDescent="0.2">
      <c r="B217" s="245"/>
      <c r="C217" s="245"/>
      <c r="D217" s="245"/>
      <c r="E217" s="245"/>
      <c r="F217" s="245"/>
      <c r="G217" s="245"/>
      <c r="H217" s="245"/>
      <c r="I217" s="245"/>
      <c r="J217" s="245"/>
      <c r="K217" s="245"/>
      <c r="L217" s="245"/>
      <c r="M217" s="245"/>
      <c r="N217" s="245"/>
      <c r="O217" s="245"/>
      <c r="P217" s="245"/>
      <c r="Q217" s="245"/>
      <c r="R217" s="245"/>
      <c r="S217" s="245"/>
    </row>
    <row r="218" spans="2:19" x14ac:dyDescent="0.2">
      <c r="B218" s="245"/>
      <c r="C218" s="245"/>
      <c r="D218" s="245"/>
      <c r="E218" s="245"/>
      <c r="F218" s="245"/>
      <c r="G218" s="245"/>
      <c r="H218" s="245"/>
      <c r="I218" s="245"/>
      <c r="J218" s="245"/>
      <c r="K218" s="245"/>
      <c r="L218" s="245"/>
      <c r="M218" s="245"/>
      <c r="N218" s="245"/>
      <c r="O218" s="245"/>
      <c r="P218" s="245"/>
      <c r="Q218" s="245"/>
      <c r="R218" s="245"/>
      <c r="S218" s="245"/>
    </row>
    <row r="219" spans="2:19" x14ac:dyDescent="0.2">
      <c r="B219" s="245"/>
      <c r="C219" s="245"/>
      <c r="D219" s="245"/>
      <c r="E219" s="245"/>
      <c r="F219" s="245"/>
      <c r="G219" s="245"/>
      <c r="H219" s="245"/>
      <c r="I219" s="245"/>
      <c r="J219" s="245"/>
      <c r="K219" s="245"/>
      <c r="L219" s="245"/>
      <c r="M219" s="245"/>
      <c r="N219" s="245"/>
      <c r="O219" s="245"/>
      <c r="P219" s="245"/>
      <c r="Q219" s="245"/>
      <c r="R219" s="245"/>
      <c r="S219" s="245"/>
    </row>
    <row r="220" spans="2:19" x14ac:dyDescent="0.2">
      <c r="B220" s="245"/>
      <c r="C220" s="245"/>
      <c r="D220" s="245"/>
      <c r="E220" s="245"/>
      <c r="F220" s="245"/>
      <c r="G220" s="245"/>
      <c r="H220" s="245"/>
      <c r="I220" s="245"/>
      <c r="J220" s="245"/>
      <c r="K220" s="245"/>
      <c r="L220" s="245"/>
      <c r="M220" s="245"/>
      <c r="N220" s="245"/>
      <c r="O220" s="245"/>
      <c r="P220" s="245"/>
      <c r="Q220" s="245"/>
      <c r="R220" s="245"/>
      <c r="S220" s="245"/>
    </row>
    <row r="221" spans="2:19" x14ac:dyDescent="0.2">
      <c r="B221" s="245"/>
      <c r="C221" s="245"/>
      <c r="D221" s="245"/>
      <c r="E221" s="245"/>
      <c r="F221" s="245"/>
      <c r="G221" s="245"/>
      <c r="H221" s="245"/>
      <c r="I221" s="245"/>
      <c r="J221" s="245"/>
      <c r="K221" s="245"/>
      <c r="L221" s="245"/>
      <c r="M221" s="245"/>
      <c r="N221" s="245"/>
      <c r="O221" s="245"/>
      <c r="P221" s="245"/>
      <c r="Q221" s="245"/>
      <c r="R221" s="245"/>
      <c r="S221" s="245"/>
    </row>
    <row r="222" spans="2:19" x14ac:dyDescent="0.2">
      <c r="B222" s="245"/>
      <c r="C222" s="245"/>
      <c r="D222" s="245"/>
      <c r="E222" s="245"/>
      <c r="F222" s="245"/>
      <c r="G222" s="245"/>
      <c r="H222" s="245"/>
      <c r="I222" s="245"/>
      <c r="J222" s="245"/>
      <c r="K222" s="245"/>
      <c r="L222" s="245"/>
      <c r="M222" s="245"/>
      <c r="N222" s="245"/>
      <c r="O222" s="245"/>
      <c r="P222" s="245"/>
      <c r="Q222" s="245"/>
      <c r="R222" s="245"/>
      <c r="S222" s="245"/>
    </row>
    <row r="223" spans="2:19" x14ac:dyDescent="0.2">
      <c r="B223" s="245"/>
      <c r="C223" s="245"/>
      <c r="D223" s="245"/>
      <c r="E223" s="245"/>
      <c r="F223" s="245"/>
      <c r="G223" s="245"/>
      <c r="H223" s="245"/>
      <c r="I223" s="245"/>
      <c r="J223" s="245"/>
      <c r="K223" s="245"/>
      <c r="L223" s="245"/>
      <c r="M223" s="245"/>
      <c r="N223" s="245"/>
      <c r="O223" s="245"/>
      <c r="P223" s="245"/>
      <c r="Q223" s="245"/>
      <c r="R223" s="245"/>
      <c r="S223" s="245"/>
    </row>
    <row r="224" spans="2:19" x14ac:dyDescent="0.2">
      <c r="B224" s="245"/>
      <c r="C224" s="245"/>
      <c r="D224" s="245"/>
      <c r="E224" s="245"/>
      <c r="F224" s="245"/>
      <c r="G224" s="245"/>
      <c r="H224" s="245"/>
      <c r="I224" s="245"/>
      <c r="J224" s="245"/>
      <c r="K224" s="245"/>
      <c r="L224" s="245"/>
      <c r="M224" s="245"/>
      <c r="N224" s="245"/>
      <c r="O224" s="245"/>
      <c r="P224" s="245"/>
      <c r="Q224" s="245"/>
      <c r="R224" s="245"/>
      <c r="S224" s="245"/>
    </row>
    <row r="225" spans="2:19" x14ac:dyDescent="0.2">
      <c r="B225" s="245"/>
      <c r="C225" s="245"/>
      <c r="D225" s="245"/>
      <c r="E225" s="245"/>
      <c r="F225" s="245"/>
      <c r="G225" s="245"/>
      <c r="H225" s="245"/>
      <c r="I225" s="245"/>
      <c r="J225" s="245"/>
      <c r="K225" s="245"/>
      <c r="L225" s="245"/>
      <c r="M225" s="245"/>
      <c r="N225" s="245"/>
      <c r="O225" s="245"/>
      <c r="P225" s="245"/>
      <c r="Q225" s="245"/>
      <c r="R225" s="245"/>
      <c r="S225" s="245"/>
    </row>
  </sheetData>
  <sheetProtection selectLockedCells="1" selectUnlockedCells="1"/>
  <mergeCells count="22">
    <mergeCell ref="H6:J6"/>
    <mergeCell ref="N3:P3"/>
    <mergeCell ref="N4:P4"/>
    <mergeCell ref="N6:P6"/>
    <mergeCell ref="T6:V6"/>
    <mergeCell ref="Q6:S6"/>
    <mergeCell ref="H3:J3"/>
    <mergeCell ref="K3:M3"/>
    <mergeCell ref="K4:M4"/>
    <mergeCell ref="K6:M6"/>
    <mergeCell ref="H4:J4"/>
    <mergeCell ref="Q4:S4"/>
    <mergeCell ref="Q3:S3"/>
    <mergeCell ref="T3:V4"/>
    <mergeCell ref="E3:G3"/>
    <mergeCell ref="E6:G6"/>
    <mergeCell ref="B3:D3"/>
    <mergeCell ref="A129:A130"/>
    <mergeCell ref="A127:A128"/>
    <mergeCell ref="B4:D4"/>
    <mergeCell ref="B6:D6"/>
    <mergeCell ref="E4:G4"/>
  </mergeCells>
  <phoneticPr fontId="0" type="noConversion"/>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E8CB-D900-49D4-A575-8F1DD9C51357}">
  <sheetPr codeName="Hoja12">
    <tabColor theme="3" tint="-0.249977111117893"/>
  </sheetPr>
  <dimension ref="A1:M225"/>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D6"/>
    </sheetView>
  </sheetViews>
  <sheetFormatPr baseColWidth="10" defaultColWidth="15" defaultRowHeight="12" x14ac:dyDescent="0.2"/>
  <cols>
    <col min="1" max="1" width="52.28515625" style="214" bestFit="1" customWidth="1"/>
    <col min="2" max="2" width="22" style="214" customWidth="1"/>
    <col min="3" max="3" width="21.28515625" style="214" bestFit="1" customWidth="1"/>
    <col min="4" max="5" width="21.85546875" style="214" bestFit="1" customWidth="1"/>
    <col min="6" max="7" width="21.28515625" style="214" bestFit="1" customWidth="1"/>
    <col min="8" max="8" width="18.5703125" style="214" bestFit="1" customWidth="1"/>
    <col min="9" max="9" width="19.140625" style="214" bestFit="1" customWidth="1"/>
    <col min="10" max="10" width="17" style="214" bestFit="1" customWidth="1"/>
    <col min="11" max="12" width="21.85546875" style="214" bestFit="1" customWidth="1"/>
    <col min="13" max="13" width="21.28515625" style="214" bestFit="1" customWidth="1"/>
    <col min="14" max="16384" width="15" style="214"/>
  </cols>
  <sheetData>
    <row r="1" spans="1:13" ht="18" x14ac:dyDescent="0.2">
      <c r="B1" s="305" t="s">
        <v>468</v>
      </c>
    </row>
    <row r="2" spans="1:13" x14ac:dyDescent="0.2">
      <c r="A2" s="239"/>
    </row>
    <row r="3" spans="1:13" x14ac:dyDescent="0.2">
      <c r="A3" s="239"/>
      <c r="B3" s="338" t="s">
        <v>197</v>
      </c>
      <c r="C3" s="339"/>
      <c r="D3" s="340"/>
      <c r="E3" s="338" t="s">
        <v>197</v>
      </c>
      <c r="F3" s="339"/>
      <c r="G3" s="340"/>
      <c r="H3" s="353" t="s">
        <v>197</v>
      </c>
      <c r="I3" s="353"/>
      <c r="J3" s="353"/>
      <c r="K3" s="355" t="s">
        <v>92</v>
      </c>
      <c r="L3" s="356"/>
      <c r="M3" s="357"/>
    </row>
    <row r="4" spans="1:13" s="215" customFormat="1" ht="36.6" customHeight="1" x14ac:dyDescent="0.2">
      <c r="A4" s="239"/>
      <c r="B4" s="344" t="s">
        <v>298</v>
      </c>
      <c r="C4" s="345"/>
      <c r="D4" s="346"/>
      <c r="E4" s="344" t="s">
        <v>299</v>
      </c>
      <c r="F4" s="345"/>
      <c r="G4" s="346"/>
      <c r="H4" s="354" t="s">
        <v>300</v>
      </c>
      <c r="I4" s="354"/>
      <c r="J4" s="354"/>
      <c r="K4" s="351"/>
      <c r="L4" s="352"/>
      <c r="M4" s="358"/>
    </row>
    <row r="5" spans="1:13" s="250" customFormat="1" x14ac:dyDescent="0.2">
      <c r="A5" s="239"/>
      <c r="B5" s="304">
        <v>2022</v>
      </c>
      <c r="C5" s="304">
        <v>2023</v>
      </c>
      <c r="D5" s="304" t="s">
        <v>436</v>
      </c>
      <c r="E5" s="304">
        <v>2022</v>
      </c>
      <c r="F5" s="304">
        <v>2023</v>
      </c>
      <c r="G5" s="304" t="s">
        <v>436</v>
      </c>
      <c r="H5" s="304">
        <v>2022</v>
      </c>
      <c r="I5" s="304">
        <v>2023</v>
      </c>
      <c r="J5" s="304" t="s">
        <v>436</v>
      </c>
      <c r="K5" s="304">
        <v>2022</v>
      </c>
      <c r="L5" s="304">
        <v>2023</v>
      </c>
      <c r="M5" s="304" t="s">
        <v>436</v>
      </c>
    </row>
    <row r="6" spans="1:13" s="215" customFormat="1" ht="12" customHeight="1" x14ac:dyDescent="0.2">
      <c r="A6" s="239"/>
      <c r="B6" s="344" t="s">
        <v>246</v>
      </c>
      <c r="C6" s="345"/>
      <c r="D6" s="346"/>
      <c r="E6" s="344" t="s">
        <v>246</v>
      </c>
      <c r="F6" s="345"/>
      <c r="G6" s="346"/>
      <c r="H6" s="354" t="s">
        <v>246</v>
      </c>
      <c r="I6" s="354"/>
      <c r="J6" s="309"/>
      <c r="K6" s="347" t="s">
        <v>246</v>
      </c>
      <c r="L6" s="348"/>
      <c r="M6" s="348"/>
    </row>
    <row r="7" spans="1:13" s="216" customFormat="1" ht="15" x14ac:dyDescent="0.2">
      <c r="A7" s="306" t="s">
        <v>39</v>
      </c>
      <c r="B7" s="253"/>
      <c r="C7" s="254"/>
      <c r="D7" s="254"/>
      <c r="E7" s="253"/>
      <c r="F7" s="254"/>
      <c r="G7" s="254"/>
      <c r="H7" s="253"/>
      <c r="I7" s="254"/>
      <c r="J7" s="254"/>
      <c r="K7" s="253"/>
      <c r="L7" s="254"/>
      <c r="M7" s="254"/>
    </row>
    <row r="8" spans="1:13" s="216" customFormat="1" x14ac:dyDescent="0.2">
      <c r="B8" s="209"/>
      <c r="C8" s="211"/>
      <c r="D8" s="211"/>
      <c r="E8" s="209"/>
      <c r="F8" s="211"/>
      <c r="G8" s="211"/>
      <c r="H8" s="209"/>
      <c r="I8" s="211"/>
      <c r="J8" s="211"/>
      <c r="K8" s="209"/>
      <c r="L8" s="211"/>
      <c r="M8" s="211"/>
    </row>
    <row r="9" spans="1:13" s="216" customFormat="1" x14ac:dyDescent="0.2">
      <c r="A9" s="218" t="s">
        <v>40</v>
      </c>
      <c r="B9" s="209"/>
      <c r="C9" s="211"/>
      <c r="D9" s="211"/>
      <c r="E9" s="209"/>
      <c r="F9" s="211"/>
      <c r="G9" s="211"/>
      <c r="H9" s="209"/>
      <c r="I9" s="211"/>
      <c r="J9" s="211"/>
      <c r="K9" s="209"/>
      <c r="L9" s="211"/>
      <c r="M9" s="211"/>
    </row>
    <row r="10" spans="1:13" x14ac:dyDescent="0.2">
      <c r="A10" s="214" t="s">
        <v>41</v>
      </c>
      <c r="B10" s="209">
        <f>1067221080*1000</f>
        <v>1067221080000</v>
      </c>
      <c r="C10" s="213">
        <f>757471155*1000</f>
        <v>757471155000</v>
      </c>
      <c r="D10" s="213">
        <v>755700021000</v>
      </c>
      <c r="E10" s="209">
        <v>2528323057000</v>
      </c>
      <c r="F10" s="213">
        <v>1442724890000</v>
      </c>
      <c r="G10" s="213">
        <v>1477809549000</v>
      </c>
      <c r="H10" s="209">
        <v>18014805186</v>
      </c>
      <c r="I10" s="213">
        <v>17864050089</v>
      </c>
      <c r="J10" s="213"/>
      <c r="K10" s="209">
        <f t="shared" ref="K10:M11" si="0">+SUM(+B10+E10+H10)</f>
        <v>3613558942186</v>
      </c>
      <c r="L10" s="209">
        <f t="shared" si="0"/>
        <v>2218060095089</v>
      </c>
      <c r="M10" s="209">
        <f t="shared" si="0"/>
        <v>2233509570000</v>
      </c>
    </row>
    <row r="11" spans="1:13" x14ac:dyDescent="0.2">
      <c r="A11" s="214" t="s">
        <v>42</v>
      </c>
      <c r="B11" s="213">
        <f>+(1597123797)*1000</f>
        <v>1597123797000</v>
      </c>
      <c r="C11" s="213">
        <f>1624207800*1000</f>
        <v>1624207800000</v>
      </c>
      <c r="D11" s="213">
        <v>1934883061000</v>
      </c>
      <c r="E11" s="213">
        <v>536910300000</v>
      </c>
      <c r="F11" s="213">
        <v>411679019000</v>
      </c>
      <c r="G11" s="213">
        <v>518520488000</v>
      </c>
      <c r="H11" s="213">
        <v>39607641642</v>
      </c>
      <c r="I11" s="213">
        <v>85462471177</v>
      </c>
      <c r="J11" s="213"/>
      <c r="K11" s="209">
        <f t="shared" si="0"/>
        <v>2173641738642</v>
      </c>
      <c r="L11" s="209">
        <f t="shared" si="0"/>
        <v>2121349290177</v>
      </c>
      <c r="M11" s="209">
        <f t="shared" si="0"/>
        <v>2453403549000</v>
      </c>
    </row>
    <row r="12" spans="1:13" s="224" customFormat="1" x14ac:dyDescent="0.2">
      <c r="A12" s="223" t="s">
        <v>43</v>
      </c>
      <c r="B12" s="210">
        <f t="shared" ref="B12:L12" si="1">+B10+B11</f>
        <v>2664344877000</v>
      </c>
      <c r="C12" s="210">
        <f t="shared" si="1"/>
        <v>2381678955000</v>
      </c>
      <c r="D12" s="210">
        <f t="shared" si="1"/>
        <v>2690583082000</v>
      </c>
      <c r="E12" s="210">
        <f t="shared" si="1"/>
        <v>3065233357000</v>
      </c>
      <c r="F12" s="210">
        <f t="shared" si="1"/>
        <v>1854403909000</v>
      </c>
      <c r="G12" s="210">
        <f t="shared" si="1"/>
        <v>1996330037000</v>
      </c>
      <c r="H12" s="210">
        <f t="shared" si="1"/>
        <v>57622446828</v>
      </c>
      <c r="I12" s="210">
        <f t="shared" si="1"/>
        <v>103326521266</v>
      </c>
      <c r="J12" s="210"/>
      <c r="K12" s="210">
        <f t="shared" si="1"/>
        <v>5787200680828</v>
      </c>
      <c r="L12" s="210">
        <f t="shared" si="1"/>
        <v>4339409385266</v>
      </c>
      <c r="M12" s="210">
        <f t="shared" ref="M12" si="2">+M10+M11</f>
        <v>4686913119000</v>
      </c>
    </row>
    <row r="13" spans="1:13" x14ac:dyDescent="0.2">
      <c r="A13" s="218" t="s">
        <v>44</v>
      </c>
      <c r="B13" s="211"/>
      <c r="C13" s="211"/>
      <c r="D13" s="211"/>
      <c r="E13" s="211"/>
      <c r="F13" s="211"/>
      <c r="G13" s="211"/>
      <c r="H13" s="211"/>
      <c r="I13" s="211"/>
      <c r="J13" s="211"/>
      <c r="K13" s="211"/>
      <c r="L13" s="211"/>
      <c r="M13" s="211"/>
    </row>
    <row r="14" spans="1:13" x14ac:dyDescent="0.2">
      <c r="A14" s="214" t="s">
        <v>45</v>
      </c>
      <c r="B14" s="213">
        <f>787156626*1000</f>
        <v>787156626000</v>
      </c>
      <c r="C14" s="213">
        <f>1010389217*1000</f>
        <v>1010389217000</v>
      </c>
      <c r="D14" s="213">
        <v>1097969304000</v>
      </c>
      <c r="E14" s="213">
        <v>2531986508000</v>
      </c>
      <c r="F14" s="213">
        <v>1450898778000</v>
      </c>
      <c r="G14" s="213">
        <v>1494091642000</v>
      </c>
      <c r="H14" s="213">
        <v>14760698442</v>
      </c>
      <c r="I14" s="213">
        <v>12406728182</v>
      </c>
      <c r="J14" s="213"/>
      <c r="K14" s="209">
        <f t="shared" ref="K14:K15" si="3">+SUM(+B14+E14+H14)</f>
        <v>3333903832442</v>
      </c>
      <c r="L14" s="209">
        <f t="shared" ref="L14:M15" si="4">+SUM(+C14+F14+I14)</f>
        <v>2473694723182</v>
      </c>
      <c r="M14" s="209">
        <f t="shared" si="4"/>
        <v>2592060946000</v>
      </c>
    </row>
    <row r="15" spans="1:13" x14ac:dyDescent="0.2">
      <c r="A15" s="226" t="s">
        <v>46</v>
      </c>
      <c r="B15" s="213">
        <f>787040356*1000</f>
        <v>787040356000</v>
      </c>
      <c r="C15" s="213">
        <f>725476863*1000</f>
        <v>725476863000</v>
      </c>
      <c r="D15" s="213">
        <v>979206678000</v>
      </c>
      <c r="E15" s="213">
        <v>1199975000</v>
      </c>
      <c r="F15" s="213">
        <v>1130179000</v>
      </c>
      <c r="G15" s="213">
        <v>1073934000</v>
      </c>
      <c r="H15" s="213">
        <v>34114268820</v>
      </c>
      <c r="I15" s="213">
        <v>82537653346</v>
      </c>
      <c r="J15" s="213"/>
      <c r="K15" s="209">
        <f t="shared" si="3"/>
        <v>822354599820</v>
      </c>
      <c r="L15" s="209">
        <f t="shared" si="4"/>
        <v>809144695346</v>
      </c>
      <c r="M15" s="209">
        <f t="shared" si="4"/>
        <v>980280612000</v>
      </c>
    </row>
    <row r="16" spans="1:13" s="224" customFormat="1" x14ac:dyDescent="0.2">
      <c r="A16" s="223" t="s">
        <v>47</v>
      </c>
      <c r="B16" s="210">
        <f t="shared" ref="B16:L16" si="5">+B14+B15</f>
        <v>1574196982000</v>
      </c>
      <c r="C16" s="210">
        <f t="shared" si="5"/>
        <v>1735866080000</v>
      </c>
      <c r="D16" s="210">
        <f t="shared" si="5"/>
        <v>2077175982000</v>
      </c>
      <c r="E16" s="210">
        <f t="shared" si="5"/>
        <v>2533186483000</v>
      </c>
      <c r="F16" s="210">
        <f t="shared" si="5"/>
        <v>1452028957000</v>
      </c>
      <c r="G16" s="210">
        <f t="shared" si="5"/>
        <v>1495165576000</v>
      </c>
      <c r="H16" s="210">
        <f t="shared" si="5"/>
        <v>48874967262</v>
      </c>
      <c r="I16" s="210">
        <f t="shared" si="5"/>
        <v>94944381528</v>
      </c>
      <c r="J16" s="210"/>
      <c r="K16" s="210">
        <f t="shared" si="5"/>
        <v>4156258432262</v>
      </c>
      <c r="L16" s="210">
        <f t="shared" si="5"/>
        <v>3282839418528</v>
      </c>
      <c r="M16" s="210">
        <f t="shared" ref="M16" si="6">+M14+M15</f>
        <v>3572341558000</v>
      </c>
    </row>
    <row r="17" spans="1:13" x14ac:dyDescent="0.2">
      <c r="A17" s="218" t="s">
        <v>48</v>
      </c>
      <c r="B17" s="209"/>
      <c r="C17" s="209"/>
      <c r="D17" s="209"/>
      <c r="E17" s="209"/>
      <c r="F17" s="209"/>
      <c r="G17" s="209"/>
      <c r="H17" s="209"/>
      <c r="I17" s="209"/>
      <c r="J17" s="209"/>
      <c r="K17" s="209"/>
      <c r="L17" s="209"/>
      <c r="M17" s="209"/>
    </row>
    <row r="18" spans="1:13" x14ac:dyDescent="0.2">
      <c r="A18" s="214" t="s">
        <v>94</v>
      </c>
      <c r="B18" s="213">
        <f>182841301*1000</f>
        <v>182841301000</v>
      </c>
      <c r="C18" s="213">
        <f>182841301*1000</f>
        <v>182841301000</v>
      </c>
      <c r="D18" s="213">
        <f>182841301*1000</f>
        <v>182841301000</v>
      </c>
      <c r="E18" s="213">
        <v>1861785000</v>
      </c>
      <c r="F18" s="213">
        <v>1861785000</v>
      </c>
      <c r="G18" s="213">
        <v>1861785000</v>
      </c>
      <c r="H18" s="213">
        <v>6000000000</v>
      </c>
      <c r="I18" s="213">
        <v>6000000000</v>
      </c>
      <c r="J18" s="213"/>
      <c r="K18" s="209">
        <f t="shared" ref="K18:K31" si="7">+SUM(+B18+E18+H18)</f>
        <v>190703086000</v>
      </c>
      <c r="L18" s="209">
        <f t="shared" ref="L18:M31" si="8">+SUM(+C18+F18+I18)</f>
        <v>190703086000</v>
      </c>
      <c r="M18" s="209">
        <f t="shared" si="8"/>
        <v>184703086000</v>
      </c>
    </row>
    <row r="19" spans="1:13" x14ac:dyDescent="0.2">
      <c r="A19" s="214" t="s">
        <v>182</v>
      </c>
      <c r="B19" s="213"/>
      <c r="C19" s="213"/>
      <c r="D19" s="213"/>
      <c r="E19" s="213"/>
      <c r="F19" s="213"/>
      <c r="G19" s="213"/>
      <c r="H19" s="213"/>
      <c r="I19" s="213"/>
      <c r="J19" s="213"/>
      <c r="K19" s="209">
        <f t="shared" si="7"/>
        <v>0</v>
      </c>
      <c r="L19" s="209">
        <f t="shared" si="8"/>
        <v>0</v>
      </c>
      <c r="M19" s="209">
        <f t="shared" si="8"/>
        <v>0</v>
      </c>
    </row>
    <row r="20" spans="1:13" x14ac:dyDescent="0.2">
      <c r="A20" s="214" t="s">
        <v>181</v>
      </c>
      <c r="B20" s="213"/>
      <c r="C20" s="213"/>
      <c r="D20" s="213"/>
      <c r="E20" s="213"/>
      <c r="F20" s="213"/>
      <c r="G20" s="213"/>
      <c r="H20" s="213"/>
      <c r="I20" s="213"/>
      <c r="J20" s="213"/>
      <c r="K20" s="209">
        <f t="shared" si="7"/>
        <v>0</v>
      </c>
      <c r="L20" s="209">
        <f t="shared" si="8"/>
        <v>0</v>
      </c>
      <c r="M20" s="209">
        <f t="shared" si="8"/>
        <v>0</v>
      </c>
    </row>
    <row r="21" spans="1:13" s="216" customFormat="1" x14ac:dyDescent="0.2">
      <c r="A21" s="214" t="s">
        <v>50</v>
      </c>
      <c r="B21" s="213">
        <f>65620772*1000</f>
        <v>65620772000</v>
      </c>
      <c r="C21" s="213">
        <f>65620772*1000</f>
        <v>65620772000</v>
      </c>
      <c r="D21" s="213">
        <f>65620772*1000</f>
        <v>65620772000</v>
      </c>
      <c r="E21" s="213">
        <v>1116065000</v>
      </c>
      <c r="F21" s="213">
        <v>1116065000</v>
      </c>
      <c r="G21" s="213">
        <v>1116065000</v>
      </c>
      <c r="H21" s="213">
        <v>124791458</v>
      </c>
      <c r="I21" s="213">
        <v>157193662</v>
      </c>
      <c r="J21" s="213"/>
      <c r="K21" s="209">
        <f t="shared" si="7"/>
        <v>66861628458</v>
      </c>
      <c r="L21" s="209">
        <f t="shared" si="8"/>
        <v>66894030662</v>
      </c>
      <c r="M21" s="209">
        <f t="shared" si="8"/>
        <v>66736837000</v>
      </c>
    </row>
    <row r="22" spans="1:13" s="216" customFormat="1" x14ac:dyDescent="0.2">
      <c r="A22" s="214" t="s">
        <v>95</v>
      </c>
      <c r="B22" s="213"/>
      <c r="C22" s="213"/>
      <c r="D22" s="213"/>
      <c r="E22" s="213"/>
      <c r="F22" s="213"/>
      <c r="G22" s="213"/>
      <c r="H22" s="213"/>
      <c r="I22" s="213"/>
      <c r="J22" s="213"/>
      <c r="K22" s="209">
        <f t="shared" si="7"/>
        <v>0</v>
      </c>
      <c r="L22" s="209">
        <f t="shared" si="8"/>
        <v>0</v>
      </c>
      <c r="M22" s="209">
        <f t="shared" si="8"/>
        <v>0</v>
      </c>
    </row>
    <row r="23" spans="1:13" x14ac:dyDescent="0.2">
      <c r="A23" s="214" t="s">
        <v>51</v>
      </c>
      <c r="B23" s="209"/>
      <c r="C23" s="209"/>
      <c r="D23" s="209"/>
      <c r="E23" s="209">
        <v>120585832000</v>
      </c>
      <c r="F23" s="209">
        <v>23626879000</v>
      </c>
      <c r="G23" s="209"/>
      <c r="H23" s="209"/>
      <c r="I23" s="209"/>
      <c r="J23" s="209"/>
      <c r="K23" s="209">
        <f t="shared" si="7"/>
        <v>120585832000</v>
      </c>
      <c r="L23" s="209">
        <f t="shared" si="8"/>
        <v>23626879000</v>
      </c>
      <c r="M23" s="209">
        <f t="shared" si="8"/>
        <v>0</v>
      </c>
    </row>
    <row r="24" spans="1:13" s="216" customFormat="1" x14ac:dyDescent="0.2">
      <c r="A24" s="214" t="s">
        <v>52</v>
      </c>
      <c r="B24" s="209">
        <f>24705030*1000</f>
        <v>24705030000</v>
      </c>
      <c r="C24" s="209">
        <f>24705030*1000</f>
        <v>24705030000</v>
      </c>
      <c r="D24" s="209">
        <f>24705030*1000</f>
        <v>24705030000</v>
      </c>
      <c r="E24" s="209">
        <v>689124740000</v>
      </c>
      <c r="F24" s="209">
        <v>689124740000</v>
      </c>
      <c r="G24" s="209">
        <v>689124740000</v>
      </c>
      <c r="H24" s="209"/>
      <c r="I24" s="209"/>
      <c r="J24" s="209"/>
      <c r="K24" s="209">
        <f t="shared" si="7"/>
        <v>713829770000</v>
      </c>
      <c r="L24" s="209">
        <f t="shared" si="8"/>
        <v>713829770000</v>
      </c>
      <c r="M24" s="209">
        <f t="shared" si="8"/>
        <v>713829770000</v>
      </c>
    </row>
    <row r="25" spans="1:13" s="216" customFormat="1" x14ac:dyDescent="0.2">
      <c r="A25" s="214" t="s">
        <v>53</v>
      </c>
      <c r="B25" s="211"/>
      <c r="C25" s="211"/>
      <c r="D25" s="211"/>
      <c r="E25" s="211"/>
      <c r="F25" s="211"/>
      <c r="G25" s="211"/>
      <c r="H25" s="211">
        <v>77906</v>
      </c>
      <c r="I25" s="211">
        <v>77906</v>
      </c>
      <c r="J25" s="211"/>
      <c r="K25" s="209">
        <f t="shared" si="7"/>
        <v>77906</v>
      </c>
      <c r="L25" s="209">
        <f t="shared" si="8"/>
        <v>77906</v>
      </c>
      <c r="M25" s="209">
        <f t="shared" si="8"/>
        <v>0</v>
      </c>
    </row>
    <row r="26" spans="1:13" x14ac:dyDescent="0.2">
      <c r="A26" s="214" t="s">
        <v>54</v>
      </c>
      <c r="B26" s="213"/>
      <c r="C26" s="213"/>
      <c r="D26" s="213"/>
      <c r="E26" s="213">
        <v>-41510513000</v>
      </c>
      <c r="F26" s="213">
        <v>-32650542000</v>
      </c>
      <c r="G26" s="213">
        <v>112448594000</v>
      </c>
      <c r="H26" s="213">
        <v>324021992</v>
      </c>
      <c r="I26" s="213">
        <v>-365339828</v>
      </c>
      <c r="J26" s="213"/>
      <c r="K26" s="209">
        <f t="shared" si="7"/>
        <v>-41186491008</v>
      </c>
      <c r="L26" s="209">
        <f t="shared" si="8"/>
        <v>-33015881828</v>
      </c>
      <c r="M26" s="209">
        <f t="shared" si="8"/>
        <v>112448594000</v>
      </c>
    </row>
    <row r="27" spans="1:13" x14ac:dyDescent="0.2">
      <c r="A27" s="214" t="s">
        <v>55</v>
      </c>
      <c r="B27" s="213">
        <f>211492824*1000</f>
        <v>211492824000</v>
      </c>
      <c r="C27" s="213">
        <f>-36243490*1000</f>
        <v>-36243490000</v>
      </c>
      <c r="D27" s="213">
        <v>-115749118000</v>
      </c>
      <c r="E27" s="213">
        <v>-239131035000</v>
      </c>
      <c r="F27" s="213">
        <v>-280703975000</v>
      </c>
      <c r="G27" s="213">
        <v>-313354517000</v>
      </c>
      <c r="H27" s="213">
        <v>1372026371</v>
      </c>
      <c r="I27" s="213">
        <v>1663646159</v>
      </c>
      <c r="J27" s="213"/>
      <c r="K27" s="209">
        <f t="shared" si="7"/>
        <v>-26266184629</v>
      </c>
      <c r="L27" s="209">
        <f t="shared" si="8"/>
        <v>-315283818841</v>
      </c>
      <c r="M27" s="209">
        <f t="shared" si="8"/>
        <v>-429103635000</v>
      </c>
    </row>
    <row r="28" spans="1:13" x14ac:dyDescent="0.2">
      <c r="A28" s="214" t="s">
        <v>56</v>
      </c>
      <c r="B28" s="213"/>
      <c r="C28" s="213"/>
      <c r="D28" s="213"/>
      <c r="E28" s="213"/>
      <c r="F28" s="213"/>
      <c r="G28" s="213"/>
      <c r="H28" s="213">
        <v>926561839</v>
      </c>
      <c r="I28" s="213">
        <v>926561839</v>
      </c>
      <c r="J28" s="213"/>
      <c r="K28" s="209">
        <f t="shared" si="7"/>
        <v>926561839</v>
      </c>
      <c r="L28" s="209">
        <f t="shared" si="8"/>
        <v>926561839</v>
      </c>
      <c r="M28" s="209">
        <f t="shared" si="8"/>
        <v>0</v>
      </c>
    </row>
    <row r="29" spans="1:13" x14ac:dyDescent="0.2">
      <c r="A29" s="214" t="s">
        <v>57</v>
      </c>
      <c r="B29" s="209"/>
      <c r="C29" s="209"/>
      <c r="D29" s="209"/>
      <c r="E29" s="209"/>
      <c r="F29" s="209"/>
      <c r="G29" s="209"/>
      <c r="H29" s="213"/>
      <c r="I29" s="209"/>
      <c r="J29" s="209"/>
      <c r="K29" s="209">
        <f t="shared" si="7"/>
        <v>0</v>
      </c>
      <c r="L29" s="209">
        <f t="shared" si="8"/>
        <v>0</v>
      </c>
      <c r="M29" s="209">
        <f t="shared" si="8"/>
        <v>0</v>
      </c>
    </row>
    <row r="30" spans="1:13" x14ac:dyDescent="0.2">
      <c r="A30" s="214" t="s">
        <v>96</v>
      </c>
      <c r="B30" s="213">
        <f>618562688*1000</f>
        <v>618562688000</v>
      </c>
      <c r="C30" s="213">
        <f>419714831*1000</f>
        <v>419714831000</v>
      </c>
      <c r="D30" s="213">
        <v>471626735000</v>
      </c>
      <c r="E30" s="213"/>
      <c r="F30" s="213"/>
      <c r="G30" s="213">
        <v>9967794000</v>
      </c>
      <c r="H30" s="213"/>
      <c r="I30" s="213"/>
      <c r="J30" s="213"/>
      <c r="K30" s="209">
        <f t="shared" si="7"/>
        <v>618562688000</v>
      </c>
      <c r="L30" s="209">
        <f t="shared" si="8"/>
        <v>419714831000</v>
      </c>
      <c r="M30" s="209">
        <f t="shared" si="8"/>
        <v>481594529000</v>
      </c>
    </row>
    <row r="31" spans="1:13" x14ac:dyDescent="0.2">
      <c r="A31" s="214" t="s">
        <v>58</v>
      </c>
      <c r="B31" s="209">
        <f>-13074720*1000</f>
        <v>-13074720000</v>
      </c>
      <c r="C31" s="209">
        <f>-10825569*1000</f>
        <v>-10825569000</v>
      </c>
      <c r="D31" s="209">
        <v>-15637620000</v>
      </c>
      <c r="E31" s="209"/>
      <c r="F31" s="209"/>
      <c r="G31" s="209"/>
      <c r="H31" s="209"/>
      <c r="I31" s="209"/>
      <c r="J31" s="209"/>
      <c r="K31" s="209">
        <f t="shared" si="7"/>
        <v>-13074720000</v>
      </c>
      <c r="L31" s="209">
        <f t="shared" si="8"/>
        <v>-10825569000</v>
      </c>
      <c r="M31" s="209">
        <f t="shared" si="8"/>
        <v>-15637620000</v>
      </c>
    </row>
    <row r="32" spans="1:13" s="224" customFormat="1" x14ac:dyDescent="0.2">
      <c r="A32" s="223" t="s">
        <v>59</v>
      </c>
      <c r="B32" s="210">
        <f t="shared" ref="B32:L32" si="9">SUM(B18:B31)</f>
        <v>1090147895000</v>
      </c>
      <c r="C32" s="210">
        <f t="shared" si="9"/>
        <v>645812875000</v>
      </c>
      <c r="D32" s="210">
        <f t="shared" ref="D32" si="10">SUM(D18:D31)</f>
        <v>613407100000</v>
      </c>
      <c r="E32" s="210">
        <f t="shared" si="9"/>
        <v>532046874000</v>
      </c>
      <c r="F32" s="210">
        <f t="shared" si="9"/>
        <v>402374952000</v>
      </c>
      <c r="G32" s="210">
        <f t="shared" ref="G32" si="11">SUM(G18:G31)</f>
        <v>501164461000</v>
      </c>
      <c r="H32" s="210">
        <f t="shared" si="9"/>
        <v>8747479566</v>
      </c>
      <c r="I32" s="210">
        <f t="shared" si="9"/>
        <v>8382139738</v>
      </c>
      <c r="J32" s="210"/>
      <c r="K32" s="210">
        <f t="shared" si="9"/>
        <v>1630942248566</v>
      </c>
      <c r="L32" s="210">
        <f t="shared" si="9"/>
        <v>1056569966738</v>
      </c>
      <c r="M32" s="210">
        <f t="shared" ref="M32" si="12">SUM(M18:M31)</f>
        <v>1114571561000</v>
      </c>
    </row>
    <row r="33" spans="1:13" s="224" customFormat="1" x14ac:dyDescent="0.2">
      <c r="A33" s="223" t="s">
        <v>60</v>
      </c>
      <c r="B33" s="210">
        <f t="shared" ref="B33:L33" si="13">+B16+B32</f>
        <v>2664344877000</v>
      </c>
      <c r="C33" s="210">
        <f t="shared" si="13"/>
        <v>2381678955000</v>
      </c>
      <c r="D33" s="210">
        <f t="shared" ref="D33" si="14">+D16+D32</f>
        <v>2690583082000</v>
      </c>
      <c r="E33" s="210">
        <f t="shared" si="13"/>
        <v>3065233357000</v>
      </c>
      <c r="F33" s="210">
        <f t="shared" si="13"/>
        <v>1854403909000</v>
      </c>
      <c r="G33" s="210">
        <f t="shared" ref="G33" si="15">+G16+G32</f>
        <v>1996330037000</v>
      </c>
      <c r="H33" s="210">
        <f t="shared" si="13"/>
        <v>57622446828</v>
      </c>
      <c r="I33" s="210">
        <f t="shared" si="13"/>
        <v>103326521266</v>
      </c>
      <c r="J33" s="210"/>
      <c r="K33" s="210">
        <f t="shared" si="13"/>
        <v>5787200680828</v>
      </c>
      <c r="L33" s="210">
        <f t="shared" si="13"/>
        <v>4339409385266</v>
      </c>
      <c r="M33" s="210">
        <f t="shared" ref="M33" si="16">+M16+M32</f>
        <v>4686913119000</v>
      </c>
    </row>
    <row r="34" spans="1:13" s="224" customFormat="1" x14ac:dyDescent="0.2">
      <c r="A34" s="232"/>
      <c r="B34" s="233"/>
      <c r="C34" s="233"/>
      <c r="D34" s="233"/>
      <c r="E34" s="233"/>
      <c r="F34" s="233"/>
      <c r="G34" s="233"/>
      <c r="H34" s="233"/>
      <c r="I34" s="233"/>
      <c r="J34" s="233"/>
      <c r="K34" s="233"/>
      <c r="L34" s="233"/>
      <c r="M34" s="233"/>
    </row>
    <row r="35" spans="1:13" s="224" customFormat="1" ht="15" x14ac:dyDescent="0.2">
      <c r="A35" s="306" t="s">
        <v>242</v>
      </c>
      <c r="B35" s="233"/>
      <c r="C35" s="233"/>
      <c r="D35" s="233"/>
      <c r="E35" s="233"/>
      <c r="F35" s="233"/>
      <c r="G35" s="233"/>
      <c r="H35" s="233"/>
      <c r="I35" s="233"/>
      <c r="J35" s="233"/>
      <c r="K35" s="233"/>
      <c r="L35" s="233"/>
      <c r="M35" s="233"/>
    </row>
    <row r="36" spans="1:13" s="224" customFormat="1" x14ac:dyDescent="0.2">
      <c r="A36" s="216"/>
      <c r="B36" s="233"/>
      <c r="C36" s="233"/>
      <c r="D36" s="233"/>
      <c r="E36" s="233"/>
      <c r="F36" s="233"/>
      <c r="G36" s="233"/>
      <c r="H36" s="233"/>
      <c r="I36" s="233"/>
      <c r="J36" s="233"/>
      <c r="K36" s="233"/>
      <c r="L36" s="233"/>
      <c r="M36" s="233"/>
    </row>
    <row r="37" spans="1:13" x14ac:dyDescent="0.2">
      <c r="A37" s="226" t="s">
        <v>61</v>
      </c>
      <c r="B37" s="213">
        <f>2547834856*1000</f>
        <v>2547834856000</v>
      </c>
      <c r="C37" s="213">
        <f>2450477655*1000</f>
        <v>2450477655000</v>
      </c>
      <c r="D37" s="213">
        <v>1111126198000</v>
      </c>
      <c r="E37" s="213">
        <v>1078982352000</v>
      </c>
      <c r="F37" s="213">
        <v>1118986247000</v>
      </c>
      <c r="G37" s="213">
        <v>607969358000</v>
      </c>
      <c r="H37" s="213">
        <v>171108867747</v>
      </c>
      <c r="I37" s="213">
        <v>164413309332</v>
      </c>
      <c r="J37" s="213"/>
      <c r="K37" s="209">
        <f t="shared" ref="K37:K39" si="17">+SUM(+B37+E37+H37)</f>
        <v>3797926075747</v>
      </c>
      <c r="L37" s="209">
        <f t="shared" ref="L37:M39" si="18">+SUM(+C37+F37+I37)</f>
        <v>3733877211332</v>
      </c>
      <c r="M37" s="209">
        <f t="shared" si="18"/>
        <v>1719095556000</v>
      </c>
    </row>
    <row r="38" spans="1:13" x14ac:dyDescent="0.2">
      <c r="A38" s="226" t="s">
        <v>62</v>
      </c>
      <c r="B38" s="213"/>
      <c r="C38" s="213"/>
      <c r="D38" s="213"/>
      <c r="E38" s="213">
        <f>(1049277348+6155618)*1000</f>
        <v>1055432966000</v>
      </c>
      <c r="F38" s="213">
        <f>(1095586570+12196973)*1000</f>
        <v>1107783543000</v>
      </c>
      <c r="G38" s="213">
        <f>614157013000+1410502000</f>
        <v>615567515000</v>
      </c>
      <c r="H38" s="213">
        <v>161567262560</v>
      </c>
      <c r="I38" s="213">
        <v>151242196635</v>
      </c>
      <c r="J38" s="213"/>
      <c r="K38" s="209">
        <f t="shared" si="17"/>
        <v>1217000228560</v>
      </c>
      <c r="L38" s="209">
        <f t="shared" si="18"/>
        <v>1259025739635</v>
      </c>
      <c r="M38" s="209">
        <f t="shared" si="18"/>
        <v>615567515000</v>
      </c>
    </row>
    <row r="39" spans="1:13" x14ac:dyDescent="0.2">
      <c r="A39" s="214" t="s">
        <v>63</v>
      </c>
      <c r="B39" s="213">
        <f>2348672845*1000</f>
        <v>2348672845000</v>
      </c>
      <c r="C39" s="213">
        <f>2494595395*1000</f>
        <v>2494595395000</v>
      </c>
      <c r="D39" s="213">
        <v>1090805404000</v>
      </c>
      <c r="E39" s="213">
        <f>(17649612)*1000</f>
        <v>17649612000</v>
      </c>
      <c r="F39" s="213">
        <f>(6995073)*1000</f>
        <v>6995073000</v>
      </c>
      <c r="G39" s="213">
        <v>845763000</v>
      </c>
      <c r="H39" s="213">
        <f>5872158597+1825166625</f>
        <v>7697325222</v>
      </c>
      <c r="I39" s="213">
        <f>7360129579+2610817328</f>
        <v>9970946907</v>
      </c>
      <c r="J39" s="213"/>
      <c r="K39" s="209">
        <f t="shared" si="17"/>
        <v>2374019782222</v>
      </c>
      <c r="L39" s="209">
        <f t="shared" si="18"/>
        <v>2511561414907</v>
      </c>
      <c r="M39" s="209">
        <f t="shared" si="18"/>
        <v>1091651167000</v>
      </c>
    </row>
    <row r="40" spans="1:13" s="224" customFormat="1" x14ac:dyDescent="0.2">
      <c r="A40" s="223" t="s">
        <v>64</v>
      </c>
      <c r="B40" s="210">
        <f t="shared" ref="B40:L40" si="19">+B37-B38-B39</f>
        <v>199162011000</v>
      </c>
      <c r="C40" s="210">
        <f t="shared" si="19"/>
        <v>-44117740000</v>
      </c>
      <c r="D40" s="210">
        <f t="shared" si="19"/>
        <v>20320794000</v>
      </c>
      <c r="E40" s="210">
        <f t="shared" si="19"/>
        <v>5899774000</v>
      </c>
      <c r="F40" s="210">
        <f t="shared" si="19"/>
        <v>4207631000</v>
      </c>
      <c r="G40" s="210">
        <f t="shared" si="19"/>
        <v>-8443920000</v>
      </c>
      <c r="H40" s="210">
        <f t="shared" si="19"/>
        <v>1844279965</v>
      </c>
      <c r="I40" s="210">
        <f t="shared" si="19"/>
        <v>3200165790</v>
      </c>
      <c r="J40" s="210"/>
      <c r="K40" s="210">
        <f t="shared" si="19"/>
        <v>206906064965</v>
      </c>
      <c r="L40" s="210">
        <f t="shared" si="19"/>
        <v>-36709943210</v>
      </c>
      <c r="M40" s="210">
        <f t="shared" ref="M40" si="20">+M37-M38-M39</f>
        <v>11876874000</v>
      </c>
    </row>
    <row r="41" spans="1:13" x14ac:dyDescent="0.2">
      <c r="A41" s="214" t="s">
        <v>65</v>
      </c>
      <c r="B41" s="213">
        <f>(1984989+44944921)*1000</f>
        <v>46929910000</v>
      </c>
      <c r="C41" s="213">
        <f>9384027*1000</f>
        <v>9384027000</v>
      </c>
      <c r="D41" s="213">
        <f>3566592000+34409622000</f>
        <v>37976214000</v>
      </c>
      <c r="E41" s="213">
        <f>25651000</f>
        <v>25651000</v>
      </c>
      <c r="F41" s="213">
        <f>1406580000</f>
        <v>1406580000</v>
      </c>
      <c r="G41" s="213">
        <f>928422000+7616181000+82349155000</f>
        <v>90893758000</v>
      </c>
      <c r="H41" s="213">
        <f>1569197242+592331398</f>
        <v>2161528640</v>
      </c>
      <c r="I41" s="213">
        <f>2266356599+693041446</f>
        <v>2959398045</v>
      </c>
      <c r="J41" s="213"/>
      <c r="K41" s="209">
        <f t="shared" ref="K41:K42" si="21">+SUM(+B41+E41+H41)</f>
        <v>49117089640</v>
      </c>
      <c r="L41" s="209">
        <f t="shared" ref="L41:M42" si="22">+SUM(+C41+F41+I41)</f>
        <v>13750005045</v>
      </c>
      <c r="M41" s="209">
        <f t="shared" si="22"/>
        <v>128869972000</v>
      </c>
    </row>
    <row r="42" spans="1:13" x14ac:dyDescent="0.2">
      <c r="A42" s="214" t="s">
        <v>66</v>
      </c>
      <c r="B42" s="213">
        <f>(115811543+7296109)*1000</f>
        <v>123107652000</v>
      </c>
      <c r="C42" s="213">
        <f>(72526553+89243000+163075889)*1000</f>
        <v>324845442000</v>
      </c>
      <c r="D42" s="213">
        <f>48734900000+34609624000</f>
        <v>83344524000</v>
      </c>
      <c r="E42" s="213">
        <f>(11391364+1291773+3740433+24672214)*1000</f>
        <v>41095784000</v>
      </c>
      <c r="F42" s="213">
        <f>(1461046+1399289+4505679+17418282)*1000</f>
        <v>24784296000</v>
      </c>
      <c r="G42" s="213">
        <f>3871403000+886687000+18152303000</f>
        <v>22910393000</v>
      </c>
      <c r="H42" s="213">
        <f>2958655762+252542534</f>
        <v>3211198296</v>
      </c>
      <c r="I42" s="213">
        <f>4416256100+574917337</f>
        <v>4991173437</v>
      </c>
      <c r="J42" s="213"/>
      <c r="K42" s="209">
        <f t="shared" si="21"/>
        <v>167414634296</v>
      </c>
      <c r="L42" s="209">
        <f t="shared" si="22"/>
        <v>354620911437</v>
      </c>
      <c r="M42" s="209">
        <f t="shared" si="22"/>
        <v>106254917000</v>
      </c>
    </row>
    <row r="43" spans="1:13" s="224" customFormat="1" x14ac:dyDescent="0.2">
      <c r="A43" s="223" t="s">
        <v>67</v>
      </c>
      <c r="B43" s="210">
        <f t="shared" ref="B43:L43" si="23">+B40+B41-B42</f>
        <v>122984269000</v>
      </c>
      <c r="C43" s="210">
        <f t="shared" si="23"/>
        <v>-359579155000</v>
      </c>
      <c r="D43" s="210">
        <f t="shared" si="23"/>
        <v>-25047516000</v>
      </c>
      <c r="E43" s="210">
        <f t="shared" si="23"/>
        <v>-35170359000</v>
      </c>
      <c r="F43" s="210">
        <f t="shared" si="23"/>
        <v>-19170085000</v>
      </c>
      <c r="G43" s="210">
        <f t="shared" si="23"/>
        <v>59539445000</v>
      </c>
      <c r="H43" s="210">
        <f t="shared" si="23"/>
        <v>794610309</v>
      </c>
      <c r="I43" s="210">
        <f t="shared" si="23"/>
        <v>1168390398</v>
      </c>
      <c r="J43" s="210"/>
      <c r="K43" s="210">
        <f t="shared" si="23"/>
        <v>88608520309</v>
      </c>
      <c r="L43" s="210">
        <f t="shared" si="23"/>
        <v>-377580849602</v>
      </c>
      <c r="M43" s="210">
        <f t="shared" ref="M43" si="24">+M40+M41-M42</f>
        <v>34491929000</v>
      </c>
    </row>
    <row r="44" spans="1:13" x14ac:dyDescent="0.2">
      <c r="A44" s="214" t="s">
        <v>68</v>
      </c>
      <c r="B44" s="235">
        <f>885010*1000</f>
        <v>885010000</v>
      </c>
      <c r="C44" s="235">
        <f>111842841*1000</f>
        <v>111842841000</v>
      </c>
      <c r="D44" s="235">
        <v>-54384774000</v>
      </c>
      <c r="E44" s="235">
        <v>-6340154000</v>
      </c>
      <c r="F44" s="235">
        <v>-13480457000</v>
      </c>
      <c r="G44" s="235">
        <v>52909147000</v>
      </c>
      <c r="H44" s="235">
        <v>-649575000</v>
      </c>
      <c r="I44" s="235">
        <v>-1024334000</v>
      </c>
      <c r="J44" s="235"/>
      <c r="K44" s="209">
        <f t="shared" ref="K44" si="25">+SUM(+B44+E44+H44)</f>
        <v>-6104719000</v>
      </c>
      <c r="L44" s="209">
        <f t="shared" ref="L44:M44" si="26">+SUM(+C44+F44+I44)</f>
        <v>97338050000</v>
      </c>
      <c r="M44" s="209">
        <f t="shared" si="26"/>
        <v>-1475627000</v>
      </c>
    </row>
    <row r="45" spans="1:13" s="224" customFormat="1" x14ac:dyDescent="0.2">
      <c r="A45" s="223" t="s">
        <v>69</v>
      </c>
      <c r="B45" s="210">
        <f t="shared" ref="B45:L45" si="27">+B43+B44</f>
        <v>123869279000</v>
      </c>
      <c r="C45" s="210">
        <f t="shared" si="27"/>
        <v>-247736314000</v>
      </c>
      <c r="D45" s="210">
        <f t="shared" si="27"/>
        <v>-79432290000</v>
      </c>
      <c r="E45" s="210">
        <f t="shared" si="27"/>
        <v>-41510513000</v>
      </c>
      <c r="F45" s="210">
        <f t="shared" si="27"/>
        <v>-32650542000</v>
      </c>
      <c r="G45" s="210">
        <f t="shared" si="27"/>
        <v>112448592000</v>
      </c>
      <c r="H45" s="210">
        <f t="shared" si="27"/>
        <v>145035309</v>
      </c>
      <c r="I45" s="210">
        <f t="shared" si="27"/>
        <v>144056398</v>
      </c>
      <c r="J45" s="210"/>
      <c r="K45" s="210">
        <f t="shared" si="27"/>
        <v>82503801309</v>
      </c>
      <c r="L45" s="210">
        <f t="shared" si="27"/>
        <v>-280242799602</v>
      </c>
      <c r="M45" s="210">
        <f t="shared" ref="M45" si="28">+M43+M44</f>
        <v>33016302000</v>
      </c>
    </row>
    <row r="46" spans="1:13" x14ac:dyDescent="0.2">
      <c r="A46" s="214" t="s">
        <v>98</v>
      </c>
      <c r="B46" s="235"/>
      <c r="C46" s="235"/>
      <c r="D46" s="235"/>
      <c r="E46" s="235">
        <v>81081247000</v>
      </c>
      <c r="F46" s="235">
        <v>-97021380000</v>
      </c>
      <c r="G46" s="235">
        <v>-9967794000</v>
      </c>
      <c r="H46" s="235">
        <v>178986682</v>
      </c>
      <c r="I46" s="235">
        <v>-509396226</v>
      </c>
      <c r="J46" s="235"/>
      <c r="K46" s="209">
        <f t="shared" ref="K46" si="29">+SUM(+B46+E46+H46)</f>
        <v>81260233682</v>
      </c>
      <c r="L46" s="209">
        <f t="shared" ref="L46:M46" si="30">+SUM(+C46+F46+I46)</f>
        <v>-97530776226</v>
      </c>
      <c r="M46" s="209">
        <f t="shared" si="30"/>
        <v>-9967794000</v>
      </c>
    </row>
    <row r="47" spans="1:13" s="224" customFormat="1" x14ac:dyDescent="0.2">
      <c r="A47" s="223" t="s">
        <v>183</v>
      </c>
      <c r="B47" s="210">
        <f t="shared" ref="B47:L47" si="31">+B45+B46</f>
        <v>123869279000</v>
      </c>
      <c r="C47" s="210">
        <f t="shared" si="31"/>
        <v>-247736314000</v>
      </c>
      <c r="D47" s="210">
        <f t="shared" si="31"/>
        <v>-79432290000</v>
      </c>
      <c r="E47" s="210">
        <f t="shared" si="31"/>
        <v>39570734000</v>
      </c>
      <c r="F47" s="210">
        <f t="shared" si="31"/>
        <v>-129671922000</v>
      </c>
      <c r="G47" s="210">
        <f t="shared" si="31"/>
        <v>102480798000</v>
      </c>
      <c r="H47" s="210">
        <f t="shared" si="31"/>
        <v>324021991</v>
      </c>
      <c r="I47" s="210">
        <f t="shared" si="31"/>
        <v>-365339828</v>
      </c>
      <c r="J47" s="210"/>
      <c r="K47" s="210">
        <f t="shared" si="31"/>
        <v>163764034991</v>
      </c>
      <c r="L47" s="210">
        <f t="shared" si="31"/>
        <v>-377773575828</v>
      </c>
      <c r="M47" s="210">
        <f t="shared" ref="M47" si="32">+M45+M46</f>
        <v>23048508000</v>
      </c>
    </row>
    <row r="48" spans="1:13" s="216" customFormat="1" x14ac:dyDescent="0.2">
      <c r="A48" s="238"/>
      <c r="B48" s="240"/>
      <c r="C48" s="240"/>
      <c r="D48" s="240"/>
      <c r="E48" s="240"/>
      <c r="F48" s="240"/>
      <c r="G48" s="240"/>
      <c r="H48" s="240"/>
      <c r="I48" s="240"/>
      <c r="J48" s="240"/>
      <c r="K48" s="240"/>
      <c r="L48" s="240"/>
      <c r="M48" s="240"/>
    </row>
    <row r="49" spans="1:13" s="216" customFormat="1" x14ac:dyDescent="0.2">
      <c r="A49" s="238" t="s">
        <v>99</v>
      </c>
      <c r="B49" s="241">
        <f t="shared" ref="B49:L49" si="33">+B12-B33</f>
        <v>0</v>
      </c>
      <c r="C49" s="241">
        <f t="shared" si="33"/>
        <v>0</v>
      </c>
      <c r="D49" s="241">
        <f t="shared" si="33"/>
        <v>0</v>
      </c>
      <c r="E49" s="241">
        <f t="shared" si="33"/>
        <v>0</v>
      </c>
      <c r="F49" s="241">
        <f t="shared" si="33"/>
        <v>0</v>
      </c>
      <c r="G49" s="241">
        <f t="shared" ref="G49" si="34">+G12-G33</f>
        <v>0</v>
      </c>
      <c r="H49" s="241">
        <f t="shared" si="33"/>
        <v>0</v>
      </c>
      <c r="I49" s="241">
        <f t="shared" si="33"/>
        <v>0</v>
      </c>
      <c r="J49" s="241"/>
      <c r="K49" s="241">
        <f t="shared" si="33"/>
        <v>0</v>
      </c>
      <c r="L49" s="241">
        <f t="shared" si="33"/>
        <v>0</v>
      </c>
      <c r="M49" s="241">
        <f t="shared" ref="M49" si="35">+M12-M33</f>
        <v>0</v>
      </c>
    </row>
    <row r="50" spans="1:13" s="216" customFormat="1" x14ac:dyDescent="0.2">
      <c r="A50" s="238" t="s">
        <v>100</v>
      </c>
      <c r="B50" s="241">
        <v>123869279000</v>
      </c>
      <c r="C50" s="241">
        <v>-247736314000</v>
      </c>
      <c r="D50" s="241">
        <v>-79432290000</v>
      </c>
      <c r="E50" s="241">
        <v>-41510513000</v>
      </c>
      <c r="F50" s="241">
        <v>-32650542000</v>
      </c>
      <c r="G50" s="241">
        <v>112448592000</v>
      </c>
      <c r="H50" s="241">
        <v>324021991</v>
      </c>
      <c r="I50" s="241">
        <v>-365339828</v>
      </c>
      <c r="J50" s="241"/>
      <c r="K50" s="241">
        <v>82503801309</v>
      </c>
      <c r="L50" s="241">
        <v>-280242799602</v>
      </c>
      <c r="M50" s="241">
        <v>33016302000</v>
      </c>
    </row>
    <row r="51" spans="1:13" s="216" customFormat="1" x14ac:dyDescent="0.2">
      <c r="A51" s="238" t="s">
        <v>101</v>
      </c>
      <c r="B51" s="241">
        <f t="shared" ref="B51:G51" si="36">+B45-B50</f>
        <v>0</v>
      </c>
      <c r="C51" s="241">
        <f t="shared" si="36"/>
        <v>0</v>
      </c>
      <c r="D51" s="241">
        <f t="shared" si="36"/>
        <v>0</v>
      </c>
      <c r="E51" s="241">
        <f t="shared" si="36"/>
        <v>0</v>
      </c>
      <c r="F51" s="241">
        <f t="shared" si="36"/>
        <v>0</v>
      </c>
      <c r="G51" s="241">
        <f t="shared" si="36"/>
        <v>0</v>
      </c>
      <c r="H51" s="241">
        <f>+H47-H50</f>
        <v>0</v>
      </c>
      <c r="I51" s="241">
        <f>+I47-I50</f>
        <v>0</v>
      </c>
      <c r="J51" s="241"/>
      <c r="K51" s="241">
        <f>+K45-K50</f>
        <v>0</v>
      </c>
      <c r="L51" s="241">
        <f>+L45-L50</f>
        <v>0</v>
      </c>
      <c r="M51" s="241">
        <f>+M45-M50</f>
        <v>0</v>
      </c>
    </row>
    <row r="53" spans="1:13" s="238" customFormat="1" x14ac:dyDescent="0.2">
      <c r="B53" s="232"/>
      <c r="C53" s="232"/>
      <c r="D53" s="232"/>
      <c r="E53" s="232">
        <f>+E49-E50</f>
        <v>41510513000</v>
      </c>
      <c r="F53" s="232">
        <f>+F49-F50</f>
        <v>32650542000</v>
      </c>
      <c r="G53" s="232"/>
      <c r="H53" s="232"/>
      <c r="I53" s="232"/>
      <c r="J53" s="232"/>
      <c r="K53" s="232"/>
      <c r="L53" s="232"/>
      <c r="M53" s="232"/>
    </row>
    <row r="54" spans="1:13" s="238" customFormat="1" x14ac:dyDescent="0.2">
      <c r="B54" s="232"/>
      <c r="C54" s="232"/>
      <c r="D54" s="232"/>
      <c r="E54" s="232"/>
      <c r="F54" s="232"/>
      <c r="G54" s="232"/>
      <c r="H54" s="232"/>
      <c r="I54" s="232"/>
      <c r="J54" s="232"/>
      <c r="K54" s="232"/>
      <c r="L54" s="232"/>
      <c r="M54" s="232"/>
    </row>
    <row r="55" spans="1:13" ht="15" x14ac:dyDescent="0.2">
      <c r="A55" s="306" t="s">
        <v>196</v>
      </c>
    </row>
    <row r="57" spans="1:13" x14ac:dyDescent="0.2">
      <c r="A57" s="207" t="s">
        <v>105</v>
      </c>
      <c r="B57" s="207"/>
      <c r="C57" s="207"/>
      <c r="D57" s="207"/>
      <c r="E57" s="207"/>
      <c r="F57" s="207"/>
      <c r="G57" s="207"/>
      <c r="H57" s="207"/>
      <c r="I57" s="207"/>
      <c r="J57" s="207"/>
      <c r="K57" s="207"/>
      <c r="L57" s="207"/>
      <c r="M57" s="207"/>
    </row>
    <row r="58" spans="1:13" ht="24" x14ac:dyDescent="0.2">
      <c r="A58" s="249" t="s">
        <v>195</v>
      </c>
      <c r="B58" s="206">
        <f t="shared" ref="B58:L58" si="37">IFERROR(B10/B14,0)</f>
        <v>1.3557925382946596</v>
      </c>
      <c r="C58" s="206">
        <f t="shared" si="37"/>
        <v>0.74968254040660454</v>
      </c>
      <c r="D58" s="206">
        <f t="shared" ref="D58" si="38">IFERROR(D10/D14,0)</f>
        <v>0.68827062673511685</v>
      </c>
      <c r="E58" s="206">
        <f t="shared" si="37"/>
        <v>0.99855313170570814</v>
      </c>
      <c r="F58" s="206">
        <f t="shared" si="37"/>
        <v>0.99436632787625101</v>
      </c>
      <c r="G58" s="206">
        <f t="shared" si="37"/>
        <v>0.98910234650787232</v>
      </c>
      <c r="H58" s="206">
        <f t="shared" si="37"/>
        <v>1.2204575045541737</v>
      </c>
      <c r="I58" s="206">
        <f t="shared" si="37"/>
        <v>1.4398679351190771</v>
      </c>
      <c r="J58" s="206">
        <f t="shared" ref="J58" si="39">IFERROR(J10/J14,0)</f>
        <v>0</v>
      </c>
      <c r="K58" s="206">
        <f t="shared" si="37"/>
        <v>1.0838821765111202</v>
      </c>
      <c r="L58" s="206">
        <f t="shared" si="37"/>
        <v>0.89665878101394492</v>
      </c>
      <c r="M58" s="206">
        <f t="shared" ref="M58" si="40">IFERROR(M10/M14,0)</f>
        <v>0.86167324632034326</v>
      </c>
    </row>
    <row r="59" spans="1:13" x14ac:dyDescent="0.2">
      <c r="A59" s="207" t="s">
        <v>106</v>
      </c>
      <c r="B59" s="208"/>
      <c r="C59" s="208"/>
      <c r="D59" s="208"/>
      <c r="E59" s="208"/>
      <c r="F59" s="208"/>
      <c r="G59" s="208"/>
      <c r="H59" s="208"/>
      <c r="I59" s="208"/>
      <c r="J59" s="208"/>
      <c r="K59" s="208"/>
      <c r="L59" s="208"/>
      <c r="M59" s="208"/>
    </row>
    <row r="60" spans="1:13" x14ac:dyDescent="0.2">
      <c r="A60" s="96" t="s">
        <v>74</v>
      </c>
      <c r="B60" s="87">
        <f t="shared" ref="B60:L60" si="41">IFERROR(B14/B16,0)</f>
        <v>0.50003692993994064</v>
      </c>
      <c r="C60" s="87">
        <f t="shared" si="41"/>
        <v>0.58206634062461782</v>
      </c>
      <c r="D60" s="87">
        <f t="shared" ref="D60" si="42">IFERROR(D14/D16,0)</f>
        <v>0.52858752147847621</v>
      </c>
      <c r="E60" s="87">
        <f t="shared" si="41"/>
        <v>0.99952629819871019</v>
      </c>
      <c r="F60" s="87">
        <f t="shared" si="41"/>
        <v>0.99922165532956375</v>
      </c>
      <c r="G60" s="87">
        <f t="shared" si="41"/>
        <v>0.99928172904911772</v>
      </c>
      <c r="H60" s="87">
        <f t="shared" si="41"/>
        <v>0.30200937757919188</v>
      </c>
      <c r="I60" s="87">
        <f t="shared" si="41"/>
        <v>0.13067364263509515</v>
      </c>
      <c r="J60" s="87">
        <f t="shared" ref="J60" si="43">IFERROR(J14/J16,0)</f>
        <v>0</v>
      </c>
      <c r="K60" s="87">
        <f t="shared" si="41"/>
        <v>0.8021406480798543</v>
      </c>
      <c r="L60" s="87">
        <f t="shared" si="41"/>
        <v>0.75352291349394895</v>
      </c>
      <c r="M60" s="87">
        <f t="shared" ref="M60" si="44">IFERROR(M14/M16,0)</f>
        <v>0.72559157737738356</v>
      </c>
    </row>
    <row r="61" spans="1:13" x14ac:dyDescent="0.2">
      <c r="A61" s="96" t="s">
        <v>75</v>
      </c>
      <c r="B61" s="86">
        <f t="shared" ref="B61:L61" si="45">IFERROR(B16/B32,0)</f>
        <v>1.4440214848096369</v>
      </c>
      <c r="C61" s="86">
        <f t="shared" si="45"/>
        <v>2.687877785031771</v>
      </c>
      <c r="D61" s="86">
        <f t="shared" ref="D61" si="46">IFERROR(D16/D32,0)</f>
        <v>3.3862926953405008</v>
      </c>
      <c r="E61" s="86">
        <f t="shared" si="45"/>
        <v>4.7612092219528765</v>
      </c>
      <c r="F61" s="86">
        <f t="shared" si="45"/>
        <v>3.6086464870208919</v>
      </c>
      <c r="G61" s="86">
        <f t="shared" si="45"/>
        <v>2.9833830854977563</v>
      </c>
      <c r="H61" s="86">
        <f t="shared" si="45"/>
        <v>5.5873199695108609</v>
      </c>
      <c r="I61" s="86">
        <f t="shared" si="45"/>
        <v>11.326986246432343</v>
      </c>
      <c r="J61" s="86">
        <f t="shared" ref="J61" si="47">IFERROR(J16/J32,0)</f>
        <v>0</v>
      </c>
      <c r="K61" s="86">
        <f t="shared" si="45"/>
        <v>2.5483786663300769</v>
      </c>
      <c r="L61" s="86">
        <f t="shared" si="45"/>
        <v>3.1070724342688543</v>
      </c>
      <c r="M61" s="86">
        <f t="shared" ref="M61" si="48">IFERROR(M16/M32,0)</f>
        <v>3.2051253441231489</v>
      </c>
    </row>
    <row r="62" spans="1:13" x14ac:dyDescent="0.2">
      <c r="A62" s="97" t="s">
        <v>76</v>
      </c>
      <c r="B62" s="86">
        <f t="shared" ref="B62:L62" si="49">IFERROR(B15/B32,0)</f>
        <v>0.72195741477811137</v>
      </c>
      <c r="C62" s="86">
        <f t="shared" si="49"/>
        <v>1.1233545986521249</v>
      </c>
      <c r="D62" s="86">
        <f t="shared" ref="D62" si="50">IFERROR(D15/D32,0)</f>
        <v>1.5963406325097964</v>
      </c>
      <c r="E62" s="86">
        <f t="shared" si="49"/>
        <v>2.255393384756547E-3</v>
      </c>
      <c r="F62" s="86">
        <f t="shared" si="49"/>
        <v>2.8087707606610662E-3</v>
      </c>
      <c r="G62" s="86">
        <f t="shared" si="49"/>
        <v>2.1428774056666401E-3</v>
      </c>
      <c r="H62" s="86">
        <f t="shared" si="49"/>
        <v>3.8998969431830965</v>
      </c>
      <c r="I62" s="86">
        <f t="shared" si="49"/>
        <v>9.8468476935334053</v>
      </c>
      <c r="J62" s="86">
        <f t="shared" ref="J62" si="51">IFERROR(J15/J32,0)</f>
        <v>0</v>
      </c>
      <c r="K62" s="86">
        <f t="shared" si="49"/>
        <v>0.50422055136719424</v>
      </c>
      <c r="L62" s="86">
        <f t="shared" si="49"/>
        <v>0.76582216116185087</v>
      </c>
      <c r="M62" s="86">
        <f t="shared" ref="M62" si="52">IFERROR(M15/M32,0)</f>
        <v>0.87951338998860384</v>
      </c>
    </row>
    <row r="63" spans="1:13" x14ac:dyDescent="0.2">
      <c r="A63" s="96" t="s">
        <v>77</v>
      </c>
      <c r="B63" s="86">
        <f t="shared" ref="B63:L63" si="53">IFERROR(B16/B12,0)</f>
        <v>0.59083829409221034</v>
      </c>
      <c r="C63" s="86">
        <f t="shared" si="53"/>
        <v>0.72884133957508979</v>
      </c>
      <c r="D63" s="86">
        <f t="shared" ref="D63" si="54">IFERROR(D16/D12,0)</f>
        <v>0.77201703820123846</v>
      </c>
      <c r="E63" s="86">
        <f t="shared" si="53"/>
        <v>0.82642532817771364</v>
      </c>
      <c r="F63" s="86">
        <f t="shared" si="53"/>
        <v>0.78301655316452423</v>
      </c>
      <c r="G63" s="86">
        <f t="shared" si="53"/>
        <v>0.74895711044195445</v>
      </c>
      <c r="H63" s="86">
        <f t="shared" si="53"/>
        <v>0.84819319470915955</v>
      </c>
      <c r="I63" s="86">
        <f t="shared" si="53"/>
        <v>0.91887717078540443</v>
      </c>
      <c r="J63" s="86">
        <f t="shared" ref="J63" si="55">IFERROR(J16/J12,0)</f>
        <v>0</v>
      </c>
      <c r="K63" s="86">
        <f t="shared" si="53"/>
        <v>0.71818114862181448</v>
      </c>
      <c r="L63" s="86">
        <f t="shared" si="53"/>
        <v>0.7565175642737304</v>
      </c>
      <c r="M63" s="86">
        <f t="shared" ref="M63" si="56">IFERROR(M16/M12,0)</f>
        <v>0.76219496015795463</v>
      </c>
    </row>
    <row r="64" spans="1:13" x14ac:dyDescent="0.2">
      <c r="A64" s="207" t="s">
        <v>107</v>
      </c>
      <c r="B64" s="208"/>
      <c r="C64" s="208"/>
      <c r="D64" s="208"/>
      <c r="E64" s="208"/>
      <c r="F64" s="208"/>
      <c r="G64" s="208"/>
      <c r="H64" s="208"/>
      <c r="I64" s="208"/>
      <c r="J64" s="208"/>
      <c r="K64" s="208"/>
      <c r="L64" s="208"/>
      <c r="M64" s="208"/>
    </row>
    <row r="65" spans="1:13" x14ac:dyDescent="0.2">
      <c r="A65" s="96" t="s">
        <v>79</v>
      </c>
      <c r="B65" s="86">
        <f t="shared" ref="B65:L65" si="57">IFERROR(B12/B16,0)</f>
        <v>1.6925104719836135</v>
      </c>
      <c r="C65" s="86">
        <f t="shared" si="57"/>
        <v>1.3720407250540894</v>
      </c>
      <c r="D65" s="86">
        <f t="shared" ref="D65" si="58">IFERROR(D12/D16,0)</f>
        <v>1.2953081998422606</v>
      </c>
      <c r="E65" s="86">
        <f t="shared" si="57"/>
        <v>1.2100306777927805</v>
      </c>
      <c r="F65" s="86">
        <f t="shared" si="57"/>
        <v>1.2771122091334437</v>
      </c>
      <c r="G65" s="86">
        <f t="shared" si="57"/>
        <v>1.3351899408631114</v>
      </c>
      <c r="H65" s="86">
        <f t="shared" si="57"/>
        <v>1.1789766838943976</v>
      </c>
      <c r="I65" s="86">
        <f t="shared" si="57"/>
        <v>1.0882847368438335</v>
      </c>
      <c r="J65" s="86">
        <f t="shared" ref="J65" si="59">IFERROR(J12/J16,0)</f>
        <v>0</v>
      </c>
      <c r="K65" s="86">
        <f t="shared" si="57"/>
        <v>1.3924063614298345</v>
      </c>
      <c r="L65" s="86">
        <f t="shared" si="57"/>
        <v>1.3218463750541163</v>
      </c>
      <c r="M65" s="86">
        <f t="shared" ref="M65" si="60">IFERROR(M12/M16,0)</f>
        <v>1.3120002785019249</v>
      </c>
    </row>
    <row r="66" spans="1:13" x14ac:dyDescent="0.2">
      <c r="A66" s="96" t="s">
        <v>80</v>
      </c>
      <c r="B66" s="86">
        <f t="shared" ref="B66:L66" si="61">IFERROR(B12/B14,0)</f>
        <v>3.3847709451917898</v>
      </c>
      <c r="C66" s="86">
        <f t="shared" si="61"/>
        <v>2.3571896007278945</v>
      </c>
      <c r="D66" s="86">
        <f t="shared" ref="D66" si="62">IFERROR(D12/D14,0)</f>
        <v>2.4505084725027979</v>
      </c>
      <c r="E66" s="86">
        <f t="shared" si="61"/>
        <v>1.2106041431560424</v>
      </c>
      <c r="F66" s="86">
        <f t="shared" si="61"/>
        <v>1.2781070169183091</v>
      </c>
      <c r="G66" s="86">
        <f t="shared" si="61"/>
        <v>1.3361496583487347</v>
      </c>
      <c r="H66" s="86">
        <f t="shared" si="61"/>
        <v>3.9037750858754383</v>
      </c>
      <c r="I66" s="86">
        <f t="shared" si="61"/>
        <v>8.3282650953785513</v>
      </c>
      <c r="J66" s="86">
        <f t="shared" ref="J66" si="63">IFERROR(J12/J14,0)</f>
        <v>0</v>
      </c>
      <c r="K66" s="86">
        <f t="shared" si="61"/>
        <v>1.7358631117409953</v>
      </c>
      <c r="L66" s="86">
        <f t="shared" si="61"/>
        <v>1.7542218708717889</v>
      </c>
      <c r="M66" s="86">
        <f t="shared" ref="M66" si="64">IFERROR(M12/M14,0)</f>
        <v>1.8081801379835303</v>
      </c>
    </row>
    <row r="67" spans="1:13" x14ac:dyDescent="0.2">
      <c r="A67" s="207" t="s">
        <v>108</v>
      </c>
      <c r="B67" s="208"/>
      <c r="C67" s="208"/>
      <c r="D67" s="208"/>
      <c r="E67" s="208"/>
      <c r="F67" s="208"/>
      <c r="G67" s="208"/>
      <c r="H67" s="208"/>
      <c r="I67" s="208"/>
      <c r="J67" s="208"/>
      <c r="K67" s="208"/>
      <c r="L67" s="208"/>
      <c r="M67" s="208"/>
    </row>
    <row r="68" spans="1:13" x14ac:dyDescent="0.2">
      <c r="A68" s="96" t="s">
        <v>82</v>
      </c>
      <c r="B68" s="86">
        <f t="shared" ref="B68:L69" si="65">IFERROR(B11/B15,0)</f>
        <v>2.0292781492388938</v>
      </c>
      <c r="C68" s="86">
        <f t="shared" si="65"/>
        <v>2.238814058498789</v>
      </c>
      <c r="D68" s="86">
        <f t="shared" ref="D68" si="66">IFERROR(D11/D15,0)</f>
        <v>1.9759700423529996</v>
      </c>
      <c r="E68" s="86">
        <f t="shared" si="65"/>
        <v>447.43457155357402</v>
      </c>
      <c r="F68" s="86">
        <f t="shared" si="65"/>
        <v>364.26001456406465</v>
      </c>
      <c r="G68" s="86">
        <f t="shared" si="65"/>
        <v>482.82342117858269</v>
      </c>
      <c r="H68" s="86">
        <f t="shared" si="65"/>
        <v>1.1610285963033575</v>
      </c>
      <c r="I68" s="86">
        <f t="shared" si="65"/>
        <v>1.0354361641315277</v>
      </c>
      <c r="J68" s="86">
        <f t="shared" ref="J68" si="67">IFERROR(J11/J15,0)</f>
        <v>0</v>
      </c>
      <c r="K68" s="86">
        <f t="shared" si="65"/>
        <v>2.643192777322307</v>
      </c>
      <c r="L68" s="86">
        <f t="shared" si="65"/>
        <v>2.6217180961309836</v>
      </c>
      <c r="M68" s="86">
        <f t="shared" ref="M68" si="68">IFERROR(M11/M15,0)</f>
        <v>2.5027563729884315</v>
      </c>
    </row>
    <row r="69" spans="1:13" x14ac:dyDescent="0.2">
      <c r="A69" s="96" t="s">
        <v>83</v>
      </c>
      <c r="B69" s="86">
        <f t="shared" si="65"/>
        <v>1.6925104719836135</v>
      </c>
      <c r="C69" s="86">
        <f t="shared" si="65"/>
        <v>1.3720407250540894</v>
      </c>
      <c r="D69" s="86">
        <f t="shared" ref="D69" si="69">IFERROR(D12/D16,0)</f>
        <v>1.2953081998422606</v>
      </c>
      <c r="E69" s="86">
        <f t="shared" si="65"/>
        <v>1.2100306777927805</v>
      </c>
      <c r="F69" s="86">
        <f t="shared" si="65"/>
        <v>1.2771122091334437</v>
      </c>
      <c r="G69" s="86">
        <f t="shared" si="65"/>
        <v>1.3351899408631114</v>
      </c>
      <c r="H69" s="86">
        <f t="shared" si="65"/>
        <v>1.1789766838943976</v>
      </c>
      <c r="I69" s="86">
        <f t="shared" si="65"/>
        <v>1.0882847368438335</v>
      </c>
      <c r="J69" s="86">
        <f t="shared" ref="J69" si="70">IFERROR(J12/J16,0)</f>
        <v>0</v>
      </c>
      <c r="K69" s="86">
        <f t="shared" si="65"/>
        <v>1.3924063614298345</v>
      </c>
      <c r="L69" s="86">
        <f t="shared" si="65"/>
        <v>1.3218463750541163</v>
      </c>
      <c r="M69" s="86">
        <f t="shared" ref="M69" si="71">IFERROR(M12/M16,0)</f>
        <v>1.3120002785019249</v>
      </c>
    </row>
    <row r="70" spans="1:13" x14ac:dyDescent="0.2">
      <c r="A70" s="207" t="s">
        <v>109</v>
      </c>
      <c r="B70" s="208"/>
      <c r="C70" s="208"/>
      <c r="D70" s="208"/>
      <c r="E70" s="208"/>
      <c r="F70" s="208"/>
      <c r="G70" s="208"/>
      <c r="H70" s="208"/>
      <c r="I70" s="208"/>
      <c r="J70" s="208"/>
      <c r="K70" s="208"/>
      <c r="L70" s="208"/>
      <c r="M70" s="208"/>
    </row>
    <row r="71" spans="1:13" x14ac:dyDescent="0.2">
      <c r="A71" s="96" t="s">
        <v>85</v>
      </c>
      <c r="B71" s="86">
        <f t="shared" ref="B71:L71" si="72">IFERROR(B32/B12,0)</f>
        <v>0.40916170590778966</v>
      </c>
      <c r="C71" s="86">
        <f t="shared" si="72"/>
        <v>0.27115866042491021</v>
      </c>
      <c r="D71" s="86">
        <f t="shared" ref="D71" si="73">IFERROR(D32/D12,0)</f>
        <v>0.22798296179876151</v>
      </c>
      <c r="E71" s="86">
        <f t="shared" si="72"/>
        <v>0.17357467182228631</v>
      </c>
      <c r="F71" s="86">
        <f t="shared" si="72"/>
        <v>0.2169834468354758</v>
      </c>
      <c r="G71" s="86">
        <f t="shared" si="72"/>
        <v>0.25104288955804555</v>
      </c>
      <c r="H71" s="86">
        <f t="shared" si="72"/>
        <v>0.1518068052908404</v>
      </c>
      <c r="I71" s="86">
        <f t="shared" si="72"/>
        <v>8.1122829214595613E-2</v>
      </c>
      <c r="J71" s="86">
        <f t="shared" ref="J71" si="74">IFERROR(J32/J12,0)</f>
        <v>0</v>
      </c>
      <c r="K71" s="86">
        <f t="shared" si="72"/>
        <v>0.28181885137818546</v>
      </c>
      <c r="L71" s="86">
        <f t="shared" si="72"/>
        <v>0.24348243572626962</v>
      </c>
      <c r="M71" s="86">
        <f t="shared" ref="M71" si="75">IFERROR(M32/M12,0)</f>
        <v>0.23780503984204535</v>
      </c>
    </row>
    <row r="72" spans="1:13" x14ac:dyDescent="0.2">
      <c r="A72" s="207" t="s">
        <v>110</v>
      </c>
      <c r="B72" s="208"/>
      <c r="C72" s="208"/>
      <c r="D72" s="208"/>
      <c r="E72" s="208"/>
      <c r="F72" s="208"/>
      <c r="G72" s="208"/>
      <c r="H72" s="208"/>
      <c r="I72" s="208"/>
      <c r="J72" s="208"/>
      <c r="K72" s="208"/>
      <c r="L72" s="208"/>
      <c r="M72" s="208"/>
    </row>
    <row r="73" spans="1:13" x14ac:dyDescent="0.2">
      <c r="A73" s="96" t="s">
        <v>284</v>
      </c>
      <c r="B73" s="86">
        <f t="shared" ref="B73:L73" si="76">IFERROR(B40/B37,0)</f>
        <v>7.8169120942428935E-2</v>
      </c>
      <c r="C73" s="86">
        <f t="shared" si="76"/>
        <v>-1.8003730786926925E-2</v>
      </c>
      <c r="D73" s="86">
        <f t="shared" ref="D73" si="77">IFERROR(D40/D37,0)</f>
        <v>1.8288466275547217E-2</v>
      </c>
      <c r="E73" s="86">
        <f t="shared" si="76"/>
        <v>5.4679059291972551E-3</v>
      </c>
      <c r="F73" s="86">
        <f t="shared" si="76"/>
        <v>3.7602169028266887E-3</v>
      </c>
      <c r="G73" s="86">
        <f t="shared" si="76"/>
        <v>-1.3888726280182034E-2</v>
      </c>
      <c r="H73" s="86">
        <f t="shared" si="76"/>
        <v>1.0778400846687476E-2</v>
      </c>
      <c r="I73" s="86">
        <f t="shared" si="76"/>
        <v>1.9464152890067442E-2</v>
      </c>
      <c r="J73" s="86">
        <f t="shared" ref="J73" si="78">IFERROR(J40/J37,0)</f>
        <v>0</v>
      </c>
      <c r="K73" s="86">
        <f t="shared" si="76"/>
        <v>5.4478697278041256E-2</v>
      </c>
      <c r="L73" s="86">
        <f t="shared" si="76"/>
        <v>-9.8315882211092651E-3</v>
      </c>
      <c r="M73" s="86">
        <f t="shared" ref="M73" si="79">IFERROR(M40/M37,0)</f>
        <v>6.9087922184123199E-3</v>
      </c>
    </row>
    <row r="74" spans="1:13" x14ac:dyDescent="0.2">
      <c r="A74" s="96" t="s">
        <v>88</v>
      </c>
      <c r="B74" s="86">
        <f t="shared" ref="B74:L74" si="80">IFERROR(+B45/B37,0)</f>
        <v>4.8617467772016379E-2</v>
      </c>
      <c r="C74" s="86">
        <f t="shared" si="80"/>
        <v>-0.10109715283243421</v>
      </c>
      <c r="D74" s="86">
        <f t="shared" ref="D74" si="81">IFERROR(+D45/D37,0)</f>
        <v>-7.1488090320412007E-2</v>
      </c>
      <c r="E74" s="86">
        <f t="shared" si="80"/>
        <v>-3.8471910984508854E-2</v>
      </c>
      <c r="F74" s="86">
        <f t="shared" si="80"/>
        <v>-2.9178680334576088E-2</v>
      </c>
      <c r="G74" s="86">
        <f t="shared" si="80"/>
        <v>0.1849576636064609</v>
      </c>
      <c r="H74" s="86">
        <f t="shared" si="80"/>
        <v>8.476200614830078E-4</v>
      </c>
      <c r="I74" s="86">
        <f t="shared" si="80"/>
        <v>8.761845290097941E-4</v>
      </c>
      <c r="J74" s="86">
        <f t="shared" ref="J74" si="82">IFERROR(+J45/J37,0)</f>
        <v>0</v>
      </c>
      <c r="K74" s="86">
        <f t="shared" si="80"/>
        <v>2.1723382620809077E-2</v>
      </c>
      <c r="L74" s="86">
        <f t="shared" si="80"/>
        <v>-7.5054101605560822E-2</v>
      </c>
      <c r="M74" s="86">
        <f t="shared" ref="M74" si="83">IFERROR(+M45/M37,0)</f>
        <v>1.9205623494730272E-2</v>
      </c>
    </row>
    <row r="75" spans="1:13" x14ac:dyDescent="0.2">
      <c r="A75" s="207" t="s">
        <v>89</v>
      </c>
      <c r="B75" s="208"/>
      <c r="C75" s="208"/>
      <c r="D75" s="208"/>
      <c r="E75" s="208"/>
      <c r="F75" s="208"/>
      <c r="G75" s="208"/>
      <c r="H75" s="208"/>
      <c r="I75" s="208"/>
      <c r="J75" s="208"/>
      <c r="K75" s="208"/>
      <c r="L75" s="208"/>
      <c r="M75" s="208"/>
    </row>
    <row r="76" spans="1:13" x14ac:dyDescent="0.2">
      <c r="A76" s="204" t="s">
        <v>194</v>
      </c>
      <c r="B76" s="205">
        <f>B10-B14</f>
        <v>280064454000</v>
      </c>
      <c r="C76" s="205">
        <f t="shared" ref="C76:L76" si="84">C10-C14</f>
        <v>-252918062000</v>
      </c>
      <c r="D76" s="205">
        <f t="shared" ref="D76" si="85">D10-D14</f>
        <v>-342269283000</v>
      </c>
      <c r="E76" s="205">
        <f t="shared" si="84"/>
        <v>-3663451000</v>
      </c>
      <c r="F76" s="205">
        <f t="shared" si="84"/>
        <v>-8173888000</v>
      </c>
      <c r="G76" s="205">
        <f t="shared" si="84"/>
        <v>-16282093000</v>
      </c>
      <c r="H76" s="205">
        <f t="shared" si="84"/>
        <v>3254106744</v>
      </c>
      <c r="I76" s="205">
        <f t="shared" si="84"/>
        <v>5457321907</v>
      </c>
      <c r="J76" s="205">
        <f t="shared" ref="J76" si="86">J10-J14</f>
        <v>0</v>
      </c>
      <c r="K76" s="205">
        <f t="shared" si="84"/>
        <v>279655109744</v>
      </c>
      <c r="L76" s="205">
        <f t="shared" si="84"/>
        <v>-255634628093</v>
      </c>
      <c r="M76" s="205">
        <f t="shared" ref="M76" si="87">M10-M14</f>
        <v>-358551376000</v>
      </c>
    </row>
    <row r="77" spans="1:13" x14ac:dyDescent="0.2">
      <c r="A77" s="207" t="s">
        <v>219</v>
      </c>
      <c r="B77" s="208"/>
      <c r="C77" s="208"/>
      <c r="D77" s="208"/>
      <c r="E77" s="208"/>
      <c r="F77" s="208"/>
      <c r="G77" s="208"/>
      <c r="H77" s="208"/>
      <c r="I77" s="208"/>
      <c r="J77" s="208"/>
      <c r="K77" s="208"/>
      <c r="L77" s="208"/>
    </row>
    <row r="78" spans="1:13" x14ac:dyDescent="0.2">
      <c r="A78" s="96" t="s">
        <v>220</v>
      </c>
      <c r="B78" s="86"/>
      <c r="C78" s="86">
        <f>IFERROR(C12/B12-1,"")</f>
        <v>-0.10609209207115722</v>
      </c>
      <c r="D78" s="86"/>
      <c r="E78" s="86"/>
      <c r="F78" s="86">
        <f>IFERROR(F12/E12-1,"")</f>
        <v>-0.39502031557723261</v>
      </c>
      <c r="G78" s="86"/>
      <c r="H78" s="86"/>
      <c r="I78" s="86">
        <f>IFERROR(I12/H12-1,"")</f>
        <v>0.79316441688816641</v>
      </c>
      <c r="J78" s="86"/>
      <c r="K78" s="86"/>
      <c r="L78" s="86">
        <f>IFERROR(L12/K12-1,"")</f>
        <v>-0.25017126161846837</v>
      </c>
    </row>
    <row r="79" spans="1:13" x14ac:dyDescent="0.2">
      <c r="A79" s="96" t="s">
        <v>221</v>
      </c>
      <c r="B79" s="86"/>
      <c r="C79" s="86">
        <f>IFERROR(C16/B16-1,"")</f>
        <v>0.10269940791945942</v>
      </c>
      <c r="D79" s="86"/>
      <c r="E79" s="86"/>
      <c r="F79" s="86">
        <f>IFERROR(F16/E16-1,"")</f>
        <v>-0.42679744790032503</v>
      </c>
      <c r="G79" s="86"/>
      <c r="H79" s="86"/>
      <c r="I79" s="86">
        <f>IFERROR(I16/H16-1,"")</f>
        <v>0.94259734270591933</v>
      </c>
      <c r="J79" s="86"/>
      <c r="K79" s="86"/>
      <c r="L79" s="86">
        <f>IFERROR(L16/K16-1,"")</f>
        <v>-0.21014550177012237</v>
      </c>
    </row>
    <row r="80" spans="1:13" x14ac:dyDescent="0.2">
      <c r="A80" s="96" t="s">
        <v>222</v>
      </c>
      <c r="B80" s="86"/>
      <c r="C80" s="86">
        <f>IFERROR(C32/B32-1,"")</f>
        <v>-0.40759150390323873</v>
      </c>
      <c r="D80" s="86"/>
      <c r="E80" s="86"/>
      <c r="F80" s="86">
        <f>IFERROR(F32/E32-1,"")</f>
        <v>-0.24372274011330819</v>
      </c>
      <c r="G80" s="86"/>
      <c r="H80" s="86"/>
      <c r="I80" s="86">
        <f>IFERROR(I32/H32-1,"")</f>
        <v>-4.1765153635798691E-2</v>
      </c>
      <c r="J80" s="86"/>
      <c r="K80" s="86"/>
      <c r="L80" s="86">
        <f>IFERROR(L32/K32-1,"")</f>
        <v>-0.35217205411964447</v>
      </c>
    </row>
    <row r="81" spans="1:12" x14ac:dyDescent="0.2">
      <c r="A81" s="96" t="s">
        <v>61</v>
      </c>
      <c r="B81" s="86"/>
      <c r="C81" s="86">
        <f>IFERROR(C37/B37-1,"")</f>
        <v>-3.8211739183459881E-2</v>
      </c>
      <c r="D81" s="86"/>
      <c r="E81" s="86"/>
      <c r="F81" s="86">
        <f>IFERROR(F37/E37-1,"")</f>
        <v>3.7075578600381132E-2</v>
      </c>
      <c r="G81" s="86"/>
      <c r="H81" s="86"/>
      <c r="I81" s="86">
        <f>IFERROR(I37/H37-1,"")</f>
        <v>-3.9130399862735255E-2</v>
      </c>
      <c r="J81" s="86"/>
      <c r="K81" s="86"/>
      <c r="L81" s="86">
        <f>IFERROR(L37/K37-1,"")</f>
        <v>-1.6864168269099977E-2</v>
      </c>
    </row>
    <row r="82" spans="1:12" x14ac:dyDescent="0.2">
      <c r="A82" s="96" t="s">
        <v>223</v>
      </c>
      <c r="B82" s="86"/>
      <c r="C82" s="86" t="str">
        <f>IFERROR(C38/B38-1,"")</f>
        <v/>
      </c>
      <c r="D82" s="86"/>
      <c r="E82" s="86"/>
      <c r="F82" s="86">
        <f>IFERROR(F38/E38-1,"")</f>
        <v>4.9601044013628082E-2</v>
      </c>
      <c r="G82" s="86"/>
      <c r="H82" s="86"/>
      <c r="I82" s="86">
        <f>IFERROR(I38/H38-1,"")</f>
        <v>-6.3905680899716044E-2</v>
      </c>
      <c r="J82" s="86"/>
      <c r="K82" s="86"/>
      <c r="L82" s="86">
        <f>IFERROR(L38/K38-1,"")</f>
        <v>3.4532048629708267E-2</v>
      </c>
    </row>
    <row r="83" spans="1:12" x14ac:dyDescent="0.2">
      <c r="A83" s="96" t="s">
        <v>224</v>
      </c>
      <c r="B83" s="86"/>
      <c r="C83" s="86">
        <f>IFERROR(C39/B39-1,"")</f>
        <v>6.2129789728121887E-2</v>
      </c>
      <c r="D83" s="86"/>
      <c r="E83" s="86"/>
      <c r="F83" s="86">
        <f>IFERROR(F39/E39-1,"")</f>
        <v>-0.60366987104305747</v>
      </c>
      <c r="G83" s="86"/>
      <c r="H83" s="86"/>
      <c r="I83" s="86">
        <f>IFERROR(I39/H39-1,"")</f>
        <v>0.29537815012696633</v>
      </c>
      <c r="J83" s="86"/>
      <c r="K83" s="86"/>
      <c r="L83" s="86">
        <f>IFERROR(L39/K39-1,"")</f>
        <v>5.793617800280737E-2</v>
      </c>
    </row>
    <row r="84" spans="1:12" x14ac:dyDescent="0.2">
      <c r="A84" s="96" t="s">
        <v>64</v>
      </c>
      <c r="B84" s="86"/>
      <c r="C84" s="86">
        <f>IFERROR(C40/B40-1,"")</f>
        <v>-1.2215168433903794</v>
      </c>
      <c r="D84" s="86"/>
      <c r="E84" s="86"/>
      <c r="F84" s="86">
        <f>IFERROR(F40/E40-1,"")</f>
        <v>-0.28681488477355233</v>
      </c>
      <c r="G84" s="86"/>
      <c r="H84" s="86"/>
      <c r="I84" s="86">
        <f>IFERROR(I40/H40-1,"")</f>
        <v>0.73518438129321662</v>
      </c>
      <c r="J84" s="86"/>
      <c r="K84" s="86"/>
      <c r="L84" s="86">
        <f>IFERROR(L40/K40-1,"")</f>
        <v>-1.1774232341435222</v>
      </c>
    </row>
    <row r="85" spans="1:12" x14ac:dyDescent="0.2">
      <c r="A85" s="96"/>
      <c r="B85" s="86"/>
      <c r="C85" s="86"/>
      <c r="D85" s="86"/>
      <c r="E85" s="86"/>
      <c r="F85" s="86"/>
      <c r="G85" s="86"/>
      <c r="H85" s="86"/>
      <c r="I85" s="86"/>
      <c r="J85" s="86"/>
      <c r="K85" s="86"/>
      <c r="L85" s="86"/>
    </row>
    <row r="86" spans="1:12" x14ac:dyDescent="0.2">
      <c r="A86" s="216"/>
    </row>
    <row r="87" spans="1:12" x14ac:dyDescent="0.2">
      <c r="A87" s="216"/>
    </row>
    <row r="88" spans="1:12" x14ac:dyDescent="0.2">
      <c r="A88" s="216"/>
    </row>
    <row r="89" spans="1:12" x14ac:dyDescent="0.2">
      <c r="A89" s="216"/>
    </row>
    <row r="90" spans="1:12" x14ac:dyDescent="0.2">
      <c r="A90" s="216"/>
    </row>
    <row r="91" spans="1:12" x14ac:dyDescent="0.2">
      <c r="A91" s="216"/>
    </row>
    <row r="92" spans="1:12" x14ac:dyDescent="0.2">
      <c r="A92" s="216"/>
    </row>
    <row r="93" spans="1:12" x14ac:dyDescent="0.2">
      <c r="A93" s="216"/>
    </row>
    <row r="94" spans="1:12" x14ac:dyDescent="0.2">
      <c r="A94" s="216"/>
    </row>
    <row r="95" spans="1:12" x14ac:dyDescent="0.2">
      <c r="A95" s="216"/>
    </row>
    <row r="96" spans="1:12"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216"/>
    </row>
    <row r="127" spans="1:1" x14ac:dyDescent="0.2">
      <c r="A127" s="333" t="s">
        <v>103</v>
      </c>
    </row>
    <row r="128" spans="1:1" x14ac:dyDescent="0.2">
      <c r="A128" s="333"/>
    </row>
    <row r="129" spans="1:10" x14ac:dyDescent="0.2">
      <c r="A129" s="333" t="s">
        <v>447</v>
      </c>
    </row>
    <row r="130" spans="1:10" x14ac:dyDescent="0.2">
      <c r="A130" s="333"/>
    </row>
    <row r="131" spans="1:10" ht="24" x14ac:dyDescent="0.2">
      <c r="A131" s="244" t="s">
        <v>448</v>
      </c>
    </row>
    <row r="132" spans="1:10" x14ac:dyDescent="0.2">
      <c r="A132" s="216"/>
    </row>
    <row r="133" spans="1:10" x14ac:dyDescent="0.2">
      <c r="A133" s="216"/>
    </row>
    <row r="134" spans="1:10" x14ac:dyDescent="0.2">
      <c r="A134" s="216"/>
    </row>
    <row r="135" spans="1:10" x14ac:dyDescent="0.2">
      <c r="A135" s="216"/>
    </row>
    <row r="136" spans="1:10" x14ac:dyDescent="0.2">
      <c r="A136" s="216"/>
    </row>
    <row r="137" spans="1:10" x14ac:dyDescent="0.2">
      <c r="A137" s="216"/>
    </row>
    <row r="138" spans="1:10" x14ac:dyDescent="0.2">
      <c r="A138" s="216"/>
    </row>
    <row r="139" spans="1:10" x14ac:dyDescent="0.2">
      <c r="B139" s="245"/>
      <c r="C139" s="245"/>
      <c r="D139" s="245"/>
      <c r="E139" s="245"/>
      <c r="F139" s="245"/>
      <c r="G139" s="245"/>
      <c r="H139" s="245"/>
      <c r="I139" s="245"/>
      <c r="J139" s="245"/>
    </row>
    <row r="140" spans="1:10" x14ac:dyDescent="0.2">
      <c r="B140" s="245"/>
      <c r="C140" s="245"/>
      <c r="D140" s="245"/>
      <c r="E140" s="245"/>
      <c r="F140" s="245"/>
      <c r="G140" s="245"/>
      <c r="H140" s="245"/>
      <c r="I140" s="245"/>
      <c r="J140" s="245"/>
    </row>
    <row r="142" spans="1:10" x14ac:dyDescent="0.2">
      <c r="A142" s="244"/>
    </row>
    <row r="143" spans="1:10" x14ac:dyDescent="0.2">
      <c r="A143" s="216"/>
    </row>
    <row r="144" spans="1:10" x14ac:dyDescent="0.2">
      <c r="A144" s="216"/>
    </row>
    <row r="145" spans="1:10" x14ac:dyDescent="0.2">
      <c r="A145" s="216"/>
    </row>
    <row r="146" spans="1:10" x14ac:dyDescent="0.2">
      <c r="B146" s="245"/>
      <c r="C146" s="245"/>
      <c r="D146" s="245"/>
      <c r="E146" s="245"/>
      <c r="F146" s="245"/>
      <c r="G146" s="245"/>
      <c r="H146" s="245"/>
      <c r="I146" s="245"/>
      <c r="J146" s="245"/>
    </row>
    <row r="149" spans="1:10" x14ac:dyDescent="0.2">
      <c r="B149" s="245"/>
      <c r="C149" s="245"/>
      <c r="D149" s="245"/>
      <c r="E149" s="245"/>
      <c r="F149" s="245"/>
      <c r="G149" s="245"/>
      <c r="H149" s="245"/>
      <c r="I149" s="245"/>
      <c r="J149" s="245"/>
    </row>
    <row r="152" spans="1:10" x14ac:dyDescent="0.2">
      <c r="B152" s="245"/>
      <c r="C152" s="245"/>
      <c r="D152" s="245"/>
      <c r="E152" s="245"/>
      <c r="F152" s="245"/>
      <c r="G152" s="245"/>
      <c r="H152" s="245"/>
      <c r="I152" s="245"/>
      <c r="J152" s="245"/>
    </row>
    <row r="154" spans="1:10" x14ac:dyDescent="0.2">
      <c r="B154" s="245"/>
      <c r="C154" s="245"/>
      <c r="D154" s="245"/>
      <c r="E154" s="245"/>
      <c r="F154" s="245"/>
      <c r="G154" s="245"/>
      <c r="H154" s="245"/>
      <c r="I154" s="245"/>
      <c r="J154" s="245"/>
    </row>
    <row r="159" spans="1:10" x14ac:dyDescent="0.2">
      <c r="B159" s="228"/>
      <c r="C159" s="228"/>
      <c r="D159" s="228"/>
      <c r="E159" s="228"/>
      <c r="F159" s="228"/>
      <c r="G159" s="228"/>
      <c r="H159" s="228"/>
      <c r="I159" s="228"/>
      <c r="J159" s="228"/>
    </row>
    <row r="168" spans="1:10" s="216" customFormat="1" x14ac:dyDescent="0.2">
      <c r="A168" s="214"/>
    </row>
    <row r="169" spans="1:10" s="216" customFormat="1" x14ac:dyDescent="0.2"/>
    <row r="170" spans="1:10" s="216" customFormat="1" x14ac:dyDescent="0.2"/>
    <row r="175" spans="1:10" x14ac:dyDescent="0.2">
      <c r="B175" s="245"/>
      <c r="C175" s="245"/>
      <c r="D175" s="245"/>
      <c r="E175" s="245"/>
      <c r="F175" s="245"/>
      <c r="G175" s="245"/>
      <c r="H175" s="245"/>
      <c r="I175" s="245"/>
      <c r="J175" s="245"/>
    </row>
    <row r="180" spans="2:10" x14ac:dyDescent="0.2">
      <c r="B180" s="245"/>
      <c r="C180" s="245"/>
      <c r="D180" s="245"/>
      <c r="E180" s="245"/>
      <c r="F180" s="245"/>
      <c r="G180" s="245"/>
      <c r="H180" s="245"/>
      <c r="I180" s="245"/>
      <c r="J180" s="245"/>
    </row>
    <row r="185" spans="2:10" x14ac:dyDescent="0.2">
      <c r="B185" s="245"/>
      <c r="C185" s="245"/>
      <c r="D185" s="245"/>
      <c r="E185" s="245"/>
      <c r="F185" s="245"/>
      <c r="G185" s="245"/>
      <c r="H185" s="245"/>
      <c r="I185" s="245"/>
      <c r="J185" s="245"/>
    </row>
    <row r="186" spans="2:10" x14ac:dyDescent="0.2">
      <c r="B186" s="245"/>
      <c r="C186" s="245"/>
      <c r="D186" s="245"/>
      <c r="E186" s="245"/>
      <c r="F186" s="245"/>
      <c r="G186" s="245"/>
      <c r="H186" s="245"/>
      <c r="I186" s="245"/>
      <c r="J186" s="245"/>
    </row>
    <row r="190" spans="2:10" x14ac:dyDescent="0.2">
      <c r="B190" s="245"/>
      <c r="C190" s="245"/>
      <c r="D190" s="245"/>
      <c r="E190" s="245"/>
      <c r="F190" s="245"/>
      <c r="G190" s="245"/>
      <c r="H190" s="245"/>
      <c r="I190" s="245"/>
      <c r="J190" s="245"/>
    </row>
    <row r="196" spans="2:10" x14ac:dyDescent="0.2">
      <c r="B196" s="228"/>
      <c r="C196" s="216"/>
      <c r="D196" s="216"/>
      <c r="E196" s="228"/>
      <c r="F196" s="216"/>
      <c r="G196" s="216"/>
      <c r="H196" s="228"/>
      <c r="I196" s="216"/>
      <c r="J196" s="216"/>
    </row>
    <row r="197" spans="2:10" x14ac:dyDescent="0.2">
      <c r="B197" s="228"/>
      <c r="C197" s="216"/>
      <c r="D197" s="216"/>
      <c r="E197" s="228"/>
      <c r="F197" s="216"/>
      <c r="G197" s="216"/>
      <c r="H197" s="228"/>
      <c r="I197" s="216"/>
      <c r="J197" s="216"/>
    </row>
    <row r="198" spans="2:10" x14ac:dyDescent="0.2">
      <c r="B198" s="246"/>
      <c r="C198" s="245"/>
      <c r="D198" s="245"/>
      <c r="E198" s="246"/>
      <c r="F198" s="245"/>
      <c r="G198" s="245"/>
      <c r="H198" s="246"/>
      <c r="I198" s="245"/>
      <c r="J198" s="245"/>
    </row>
    <row r="199" spans="2:10" x14ac:dyDescent="0.2">
      <c r="B199" s="246"/>
      <c r="C199" s="245"/>
      <c r="D199" s="245"/>
      <c r="E199" s="246"/>
      <c r="F199" s="245"/>
      <c r="G199" s="245"/>
      <c r="H199" s="246"/>
      <c r="I199" s="245"/>
      <c r="J199" s="245"/>
    </row>
    <row r="200" spans="2:10" x14ac:dyDescent="0.2">
      <c r="B200" s="246"/>
      <c r="C200" s="245"/>
      <c r="D200" s="245"/>
      <c r="E200" s="246"/>
      <c r="F200" s="245"/>
      <c r="G200" s="245"/>
      <c r="H200" s="246"/>
      <c r="I200" s="245"/>
      <c r="J200" s="245"/>
    </row>
    <row r="201" spans="2:10" x14ac:dyDescent="0.2">
      <c r="B201" s="246"/>
      <c r="C201" s="245"/>
      <c r="D201" s="245"/>
      <c r="E201" s="246"/>
      <c r="F201" s="245"/>
      <c r="G201" s="245"/>
      <c r="H201" s="246"/>
      <c r="I201" s="245"/>
      <c r="J201" s="245"/>
    </row>
    <row r="202" spans="2:10" x14ac:dyDescent="0.2">
      <c r="B202" s="245"/>
      <c r="C202" s="245"/>
      <c r="D202" s="245"/>
      <c r="E202" s="245"/>
      <c r="F202" s="245"/>
      <c r="G202" s="245"/>
      <c r="H202" s="245"/>
      <c r="I202" s="245"/>
      <c r="J202" s="245"/>
    </row>
    <row r="203" spans="2:10" x14ac:dyDescent="0.2">
      <c r="B203" s="245"/>
      <c r="C203" s="245"/>
      <c r="D203" s="245"/>
      <c r="E203" s="245"/>
      <c r="F203" s="245"/>
      <c r="G203" s="245"/>
      <c r="H203" s="245"/>
      <c r="I203" s="245"/>
      <c r="J203" s="245"/>
    </row>
    <row r="204" spans="2:10" x14ac:dyDescent="0.2">
      <c r="B204" s="245"/>
      <c r="C204" s="245"/>
      <c r="D204" s="245"/>
      <c r="E204" s="245"/>
      <c r="F204" s="245"/>
      <c r="G204" s="245"/>
      <c r="H204" s="245"/>
      <c r="I204" s="245"/>
      <c r="J204" s="245"/>
    </row>
    <row r="205" spans="2:10" x14ac:dyDescent="0.2">
      <c r="B205" s="245"/>
      <c r="C205" s="245"/>
      <c r="D205" s="245"/>
      <c r="E205" s="245"/>
      <c r="F205" s="245"/>
      <c r="G205" s="245"/>
      <c r="H205" s="245"/>
      <c r="I205" s="245"/>
      <c r="J205" s="245"/>
    </row>
    <row r="206" spans="2:10" x14ac:dyDescent="0.2">
      <c r="B206" s="245"/>
      <c r="C206" s="245"/>
      <c r="D206" s="245"/>
      <c r="E206" s="245"/>
      <c r="F206" s="245"/>
      <c r="G206" s="245"/>
      <c r="H206" s="245"/>
      <c r="I206" s="245"/>
      <c r="J206" s="245"/>
    </row>
    <row r="207" spans="2:10" x14ac:dyDescent="0.2">
      <c r="B207" s="245"/>
      <c r="C207" s="245"/>
      <c r="D207" s="245"/>
      <c r="E207" s="245"/>
      <c r="F207" s="245"/>
      <c r="G207" s="245"/>
      <c r="H207" s="245"/>
      <c r="I207" s="245"/>
      <c r="J207" s="245"/>
    </row>
    <row r="208" spans="2:10" x14ac:dyDescent="0.2">
      <c r="B208" s="245"/>
      <c r="C208" s="245"/>
      <c r="D208" s="245"/>
      <c r="E208" s="245"/>
      <c r="F208" s="245"/>
      <c r="G208" s="245"/>
      <c r="H208" s="245"/>
      <c r="I208" s="245"/>
      <c r="J208" s="245"/>
    </row>
    <row r="209" spans="2:10" x14ac:dyDescent="0.2">
      <c r="B209" s="245"/>
      <c r="C209" s="245"/>
      <c r="D209" s="245"/>
      <c r="E209" s="245"/>
      <c r="F209" s="245"/>
      <c r="G209" s="245"/>
      <c r="H209" s="245"/>
      <c r="I209" s="245"/>
      <c r="J209" s="245"/>
    </row>
    <row r="210" spans="2:10" x14ac:dyDescent="0.2">
      <c r="B210" s="245"/>
      <c r="C210" s="245"/>
      <c r="D210" s="245"/>
      <c r="E210" s="245"/>
      <c r="F210" s="245"/>
      <c r="G210" s="245"/>
      <c r="H210" s="245"/>
      <c r="I210" s="245"/>
      <c r="J210" s="245"/>
    </row>
    <row r="211" spans="2:10" x14ac:dyDescent="0.2">
      <c r="B211" s="245"/>
      <c r="C211" s="245"/>
      <c r="D211" s="245"/>
      <c r="E211" s="245"/>
      <c r="F211" s="245"/>
      <c r="G211" s="245"/>
      <c r="H211" s="245"/>
      <c r="I211" s="245"/>
      <c r="J211" s="245"/>
    </row>
    <row r="212" spans="2:10" x14ac:dyDescent="0.2">
      <c r="B212" s="245"/>
      <c r="C212" s="245"/>
      <c r="D212" s="245"/>
      <c r="E212" s="245"/>
      <c r="F212" s="245"/>
      <c r="G212" s="245"/>
      <c r="H212" s="245"/>
      <c r="I212" s="245"/>
      <c r="J212" s="245"/>
    </row>
    <row r="213" spans="2:10" x14ac:dyDescent="0.2">
      <c r="B213" s="245"/>
      <c r="C213" s="245"/>
      <c r="D213" s="245"/>
      <c r="E213" s="245"/>
      <c r="F213" s="245"/>
      <c r="G213" s="245"/>
      <c r="H213" s="245"/>
      <c r="I213" s="245"/>
      <c r="J213" s="245"/>
    </row>
    <row r="214" spans="2:10" x14ac:dyDescent="0.2">
      <c r="B214" s="245"/>
      <c r="C214" s="245"/>
      <c r="D214" s="245"/>
      <c r="E214" s="245"/>
      <c r="F214" s="245"/>
      <c r="G214" s="245"/>
      <c r="H214" s="245"/>
      <c r="I214" s="245"/>
      <c r="J214" s="245"/>
    </row>
    <row r="215" spans="2:10" x14ac:dyDescent="0.2">
      <c r="B215" s="245"/>
      <c r="C215" s="245"/>
      <c r="D215" s="245"/>
      <c r="E215" s="245"/>
      <c r="F215" s="245"/>
      <c r="G215" s="245"/>
      <c r="H215" s="245"/>
      <c r="I215" s="245"/>
      <c r="J215" s="245"/>
    </row>
    <row r="216" spans="2:10" x14ac:dyDescent="0.2">
      <c r="B216" s="245"/>
      <c r="C216" s="245"/>
      <c r="D216" s="245"/>
      <c r="E216" s="245"/>
      <c r="F216" s="245"/>
      <c r="G216" s="245"/>
      <c r="H216" s="245"/>
      <c r="I216" s="245"/>
      <c r="J216" s="245"/>
    </row>
    <row r="217" spans="2:10" x14ac:dyDescent="0.2">
      <c r="B217" s="245"/>
      <c r="C217" s="245"/>
      <c r="D217" s="245"/>
      <c r="E217" s="245"/>
      <c r="F217" s="245"/>
      <c r="G217" s="245"/>
      <c r="H217" s="245"/>
      <c r="I217" s="245"/>
      <c r="J217" s="245"/>
    </row>
    <row r="218" spans="2:10" x14ac:dyDescent="0.2">
      <c r="B218" s="245"/>
      <c r="C218" s="245"/>
      <c r="D218" s="245"/>
      <c r="E218" s="245"/>
      <c r="F218" s="245"/>
      <c r="G218" s="245"/>
      <c r="H218" s="245"/>
      <c r="I218" s="245"/>
      <c r="J218" s="245"/>
    </row>
    <row r="219" spans="2:10" x14ac:dyDescent="0.2">
      <c r="B219" s="245"/>
      <c r="C219" s="245"/>
      <c r="D219" s="245"/>
      <c r="E219" s="245"/>
      <c r="F219" s="245"/>
      <c r="G219" s="245"/>
      <c r="H219" s="245"/>
      <c r="I219" s="245"/>
      <c r="J219" s="245"/>
    </row>
    <row r="220" spans="2:10" x14ac:dyDescent="0.2">
      <c r="B220" s="245"/>
      <c r="C220" s="245"/>
      <c r="D220" s="245"/>
      <c r="E220" s="245"/>
      <c r="F220" s="245"/>
      <c r="G220" s="245"/>
      <c r="H220" s="245"/>
      <c r="I220" s="245"/>
      <c r="J220" s="245"/>
    </row>
    <row r="221" spans="2:10" x14ac:dyDescent="0.2">
      <c r="B221" s="245"/>
      <c r="C221" s="245"/>
      <c r="D221" s="245"/>
      <c r="E221" s="245"/>
      <c r="F221" s="245"/>
      <c r="G221" s="245"/>
      <c r="H221" s="245"/>
      <c r="I221" s="245"/>
      <c r="J221" s="245"/>
    </row>
    <row r="222" spans="2:10" x14ac:dyDescent="0.2">
      <c r="B222" s="245"/>
      <c r="C222" s="245"/>
      <c r="D222" s="245"/>
      <c r="E222" s="245"/>
      <c r="F222" s="245"/>
      <c r="G222" s="245"/>
      <c r="H222" s="245"/>
      <c r="I222" s="245"/>
      <c r="J222" s="245"/>
    </row>
    <row r="223" spans="2:10" x14ac:dyDescent="0.2">
      <c r="B223" s="245"/>
      <c r="C223" s="245"/>
      <c r="D223" s="245"/>
      <c r="E223" s="245"/>
      <c r="F223" s="245"/>
      <c r="G223" s="245"/>
      <c r="H223" s="245"/>
      <c r="I223" s="245"/>
      <c r="J223" s="245"/>
    </row>
    <row r="224" spans="2:10" x14ac:dyDescent="0.2">
      <c r="B224" s="245"/>
      <c r="C224" s="245"/>
      <c r="D224" s="245"/>
      <c r="E224" s="245"/>
      <c r="F224" s="245"/>
      <c r="G224" s="245"/>
      <c r="H224" s="245"/>
      <c r="I224" s="245"/>
      <c r="J224" s="245"/>
    </row>
    <row r="225" spans="2:10" x14ac:dyDescent="0.2">
      <c r="B225" s="245"/>
      <c r="C225" s="245"/>
      <c r="D225" s="245"/>
      <c r="E225" s="245"/>
      <c r="F225" s="245"/>
      <c r="G225" s="245"/>
      <c r="H225" s="245"/>
      <c r="I225" s="245"/>
      <c r="J225" s="245"/>
    </row>
  </sheetData>
  <sheetProtection selectLockedCells="1" selectUnlockedCells="1"/>
  <mergeCells count="13">
    <mergeCell ref="A127:A128"/>
    <mergeCell ref="A129:A130"/>
    <mergeCell ref="H6:I6"/>
    <mergeCell ref="E6:G6"/>
    <mergeCell ref="B6:D6"/>
    <mergeCell ref="K6:M6"/>
    <mergeCell ref="B4:D4"/>
    <mergeCell ref="B3:D3"/>
    <mergeCell ref="E4:G4"/>
    <mergeCell ref="E3:G3"/>
    <mergeCell ref="H3:J3"/>
    <mergeCell ref="H4:J4"/>
    <mergeCell ref="K3:M4"/>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935AF-93A5-45AB-9A63-96FE75D03F18}">
  <sheetPr codeName="Hoja13">
    <tabColor theme="3" tint="-0.249977111117893"/>
  </sheetPr>
  <dimension ref="A1:CJ224"/>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D6"/>
    </sheetView>
  </sheetViews>
  <sheetFormatPr baseColWidth="10" defaultColWidth="15" defaultRowHeight="12" x14ac:dyDescent="0.2"/>
  <cols>
    <col min="1" max="1" width="53.42578125" style="214" customWidth="1"/>
    <col min="2" max="2" width="19.140625" style="214" customWidth="1"/>
    <col min="3" max="3" width="18.5703125" style="214" bestFit="1" customWidth="1"/>
    <col min="4" max="4" width="18.28515625" style="214" bestFit="1" customWidth="1"/>
    <col min="5" max="6" width="21.28515625" style="214" bestFit="1" customWidth="1"/>
    <col min="7" max="7" width="21.85546875" style="214" bestFit="1" customWidth="1"/>
    <col min="8" max="8" width="19.85546875" style="214" bestFit="1" customWidth="1"/>
    <col min="9" max="10" width="19.42578125" style="214" bestFit="1" customWidth="1"/>
    <col min="11" max="11" width="15.140625" style="214" bestFit="1" customWidth="1"/>
    <col min="12" max="12" width="15.42578125" style="214" bestFit="1" customWidth="1"/>
    <col min="13" max="13" width="17" style="214" bestFit="1" customWidth="1"/>
    <col min="14" max="14" width="18" style="214" bestFit="1" customWidth="1"/>
    <col min="15" max="15" width="17.5703125" style="214" bestFit="1" customWidth="1"/>
    <col min="16" max="16" width="18.28515625" style="214" bestFit="1" customWidth="1"/>
    <col min="17" max="18" width="18.5703125" style="214" bestFit="1" customWidth="1"/>
    <col min="19" max="19" width="17" style="214" bestFit="1" customWidth="1"/>
    <col min="20" max="20" width="16.7109375" style="214" bestFit="1" customWidth="1"/>
    <col min="21" max="21" width="17.140625" style="214" bestFit="1" customWidth="1"/>
    <col min="22" max="22" width="17.42578125" style="214" bestFit="1" customWidth="1"/>
    <col min="23" max="23" width="19.85546875" style="214" bestFit="1" customWidth="1"/>
    <col min="24" max="25" width="19.42578125" style="214" bestFit="1" customWidth="1"/>
    <col min="26" max="26" width="18.28515625" style="214" bestFit="1" customWidth="1"/>
    <col min="27" max="28" width="18.5703125" style="214" bestFit="1" customWidth="1"/>
    <col min="29" max="29" width="19.140625" style="214" bestFit="1" customWidth="1"/>
    <col min="30" max="31" width="18.5703125" style="214" bestFit="1" customWidth="1"/>
    <col min="32" max="34" width="17.42578125" style="214" bestFit="1" customWidth="1"/>
    <col min="35" max="35" width="18.5703125" style="214" bestFit="1" customWidth="1"/>
    <col min="36" max="36" width="19.42578125" style="214" bestFit="1" customWidth="1"/>
    <col min="37" max="37" width="19.140625" style="214" bestFit="1" customWidth="1"/>
    <col min="38" max="38" width="16.7109375" style="214" bestFit="1" customWidth="1"/>
    <col min="39" max="39" width="17.42578125" style="214" bestFit="1" customWidth="1"/>
    <col min="40" max="40" width="18.28515625" style="214" bestFit="1" customWidth="1"/>
    <col min="41" max="41" width="17.5703125" style="214" bestFit="1" customWidth="1"/>
    <col min="42" max="42" width="18" style="214" bestFit="1" customWidth="1"/>
    <col min="43" max="43" width="17" style="214" bestFit="1" customWidth="1"/>
    <col min="44" max="44" width="18.5703125" style="214" bestFit="1" customWidth="1"/>
    <col min="45" max="45" width="18.28515625" style="214" bestFit="1" customWidth="1"/>
    <col min="46" max="46" width="18.85546875" style="214" bestFit="1" customWidth="1"/>
    <col min="47" max="47" width="17.140625" style="214" bestFit="1" customWidth="1"/>
    <col min="48" max="49" width="18.28515625" style="214" bestFit="1" customWidth="1"/>
    <col min="50" max="50" width="18.5703125" style="214" bestFit="1" customWidth="1"/>
    <col min="51" max="51" width="19.42578125" style="214" bestFit="1" customWidth="1"/>
    <col min="52" max="52" width="19.140625" style="214" bestFit="1" customWidth="1"/>
    <col min="53" max="53" width="17.42578125" style="214" bestFit="1" customWidth="1"/>
    <col min="54" max="54" width="18.5703125" style="214" bestFit="1" customWidth="1"/>
    <col min="55" max="56" width="18.28515625" style="214" bestFit="1" customWidth="1"/>
    <col min="57" max="57" width="18.5703125" style="214" bestFit="1" customWidth="1"/>
    <col min="58" max="58" width="18.28515625" style="214" bestFit="1" customWidth="1"/>
    <col min="59" max="60" width="15.140625" style="214" bestFit="1" customWidth="1"/>
    <col min="61" max="61" width="19.140625" style="214" customWidth="1"/>
    <col min="62" max="62" width="19.42578125" style="214" bestFit="1" customWidth="1"/>
    <col min="63" max="63" width="18.85546875" style="214" bestFit="1" customWidth="1"/>
    <col min="64" max="64" width="19.140625" style="214" bestFit="1" customWidth="1"/>
    <col min="65" max="65" width="18" style="214" bestFit="1" customWidth="1"/>
    <col min="66" max="66" width="18.5703125" style="214" bestFit="1" customWidth="1"/>
    <col min="67" max="67" width="17" style="214" bestFit="1" customWidth="1"/>
    <col min="68" max="69" width="19.85546875" style="214" bestFit="1" customWidth="1"/>
    <col min="70" max="70" width="21.85546875" style="214" customWidth="1"/>
    <col min="71" max="72" width="19.42578125" style="214" bestFit="1" customWidth="1"/>
    <col min="73" max="73" width="20" style="214" customWidth="1"/>
    <col min="74" max="74" width="17.140625" style="214" bestFit="1" customWidth="1"/>
    <col min="75" max="75" width="17.42578125" style="214" bestFit="1" customWidth="1"/>
    <col min="76" max="76" width="17" style="214" bestFit="1" customWidth="1"/>
    <col min="77" max="79" width="19.42578125" style="214" bestFit="1" customWidth="1"/>
    <col min="80" max="82" width="19.85546875" style="214" bestFit="1" customWidth="1"/>
    <col min="83" max="84" width="6.85546875" style="214" bestFit="1" customWidth="1"/>
    <col min="85" max="85" width="17.5703125" style="214" bestFit="1" customWidth="1"/>
    <col min="86" max="88" width="21.85546875" style="214" bestFit="1" customWidth="1"/>
    <col min="89" max="16384" width="15" style="214"/>
  </cols>
  <sheetData>
    <row r="1" spans="1:88" ht="18" x14ac:dyDescent="0.2">
      <c r="B1" s="305" t="s">
        <v>467</v>
      </c>
    </row>
    <row r="2" spans="1:88" x14ac:dyDescent="0.2">
      <c r="A2" s="239"/>
    </row>
    <row r="3" spans="1:88" ht="11.45" customHeight="1" x14ac:dyDescent="0.2">
      <c r="A3" s="239"/>
      <c r="B3" s="338" t="s">
        <v>184</v>
      </c>
      <c r="C3" s="339"/>
      <c r="D3" s="340"/>
      <c r="E3" s="338" t="s">
        <v>184</v>
      </c>
      <c r="F3" s="339"/>
      <c r="G3" s="340"/>
      <c r="H3" s="338" t="s">
        <v>184</v>
      </c>
      <c r="I3" s="339"/>
      <c r="J3" s="340"/>
      <c r="K3" s="338" t="s">
        <v>184</v>
      </c>
      <c r="L3" s="339"/>
      <c r="M3" s="340"/>
      <c r="N3" s="338" t="s">
        <v>184</v>
      </c>
      <c r="O3" s="339"/>
      <c r="P3" s="340"/>
      <c r="Q3" s="338" t="s">
        <v>184</v>
      </c>
      <c r="R3" s="339"/>
      <c r="S3" s="340"/>
      <c r="T3" s="338" t="s">
        <v>184</v>
      </c>
      <c r="U3" s="339"/>
      <c r="V3" s="340"/>
      <c r="W3" s="338" t="s">
        <v>184</v>
      </c>
      <c r="X3" s="339"/>
      <c r="Y3" s="340"/>
      <c r="Z3" s="338" t="s">
        <v>184</v>
      </c>
      <c r="AA3" s="339"/>
      <c r="AB3" s="340"/>
      <c r="AC3" s="338" t="s">
        <v>184</v>
      </c>
      <c r="AD3" s="339"/>
      <c r="AE3" s="340"/>
      <c r="AF3" s="338" t="s">
        <v>184</v>
      </c>
      <c r="AG3" s="339"/>
      <c r="AH3" s="340"/>
      <c r="AI3" s="353" t="s">
        <v>184</v>
      </c>
      <c r="AJ3" s="353"/>
      <c r="AK3" s="307"/>
      <c r="AL3" s="338" t="s">
        <v>184</v>
      </c>
      <c r="AM3" s="339"/>
      <c r="AN3" s="340"/>
      <c r="AO3" s="338" t="s">
        <v>184</v>
      </c>
      <c r="AP3" s="339"/>
      <c r="AQ3" s="340"/>
      <c r="AR3" s="338" t="s">
        <v>184</v>
      </c>
      <c r="AS3" s="339"/>
      <c r="AT3" s="340"/>
      <c r="AU3" s="338" t="s">
        <v>184</v>
      </c>
      <c r="AV3" s="339"/>
      <c r="AW3" s="340"/>
      <c r="AX3" s="338" t="s">
        <v>184</v>
      </c>
      <c r="AY3" s="339"/>
      <c r="AZ3" s="340"/>
      <c r="BA3" s="338" t="s">
        <v>184</v>
      </c>
      <c r="BB3" s="339"/>
      <c r="BC3" s="340"/>
      <c r="BD3" s="338" t="s">
        <v>184</v>
      </c>
      <c r="BE3" s="339"/>
      <c r="BF3" s="340"/>
      <c r="BG3" s="338" t="s">
        <v>184</v>
      </c>
      <c r="BH3" s="339"/>
      <c r="BI3" s="340"/>
      <c r="BJ3" s="338" t="s">
        <v>184</v>
      </c>
      <c r="BK3" s="339"/>
      <c r="BL3" s="340"/>
      <c r="BM3" s="338" t="s">
        <v>184</v>
      </c>
      <c r="BN3" s="339"/>
      <c r="BO3" s="340"/>
      <c r="BP3" s="338" t="s">
        <v>184</v>
      </c>
      <c r="BQ3" s="339"/>
      <c r="BR3" s="340"/>
      <c r="BS3" s="338" t="s">
        <v>184</v>
      </c>
      <c r="BT3" s="339"/>
      <c r="BU3" s="340"/>
      <c r="BV3" s="338" t="s">
        <v>257</v>
      </c>
      <c r="BW3" s="339"/>
      <c r="BX3" s="340"/>
      <c r="BY3" s="338" t="s">
        <v>184</v>
      </c>
      <c r="BZ3" s="339"/>
      <c r="CA3" s="340"/>
      <c r="CB3" s="338" t="s">
        <v>257</v>
      </c>
      <c r="CC3" s="339"/>
      <c r="CD3" s="340"/>
      <c r="CE3" s="338" t="s">
        <v>257</v>
      </c>
      <c r="CF3" s="339"/>
      <c r="CG3" s="340"/>
      <c r="CH3" s="355" t="s">
        <v>92</v>
      </c>
      <c r="CI3" s="356"/>
      <c r="CJ3" s="357"/>
    </row>
    <row r="4" spans="1:88" s="215" customFormat="1" ht="39.950000000000003" customHeight="1" x14ac:dyDescent="0.2">
      <c r="A4" s="239"/>
      <c r="B4" s="344" t="s">
        <v>301</v>
      </c>
      <c r="C4" s="345"/>
      <c r="D4" s="346"/>
      <c r="E4" s="344" t="s">
        <v>276</v>
      </c>
      <c r="F4" s="345"/>
      <c r="G4" s="346"/>
      <c r="H4" s="344" t="s">
        <v>443</v>
      </c>
      <c r="I4" s="345"/>
      <c r="J4" s="346"/>
      <c r="K4" s="344" t="s">
        <v>302</v>
      </c>
      <c r="L4" s="345"/>
      <c r="M4" s="346"/>
      <c r="N4" s="344" t="s">
        <v>303</v>
      </c>
      <c r="O4" s="345"/>
      <c r="P4" s="346"/>
      <c r="Q4" s="344" t="s">
        <v>277</v>
      </c>
      <c r="R4" s="345"/>
      <c r="S4" s="346"/>
      <c r="T4" s="344" t="s">
        <v>304</v>
      </c>
      <c r="U4" s="345"/>
      <c r="V4" s="346"/>
      <c r="W4" s="344" t="s">
        <v>437</v>
      </c>
      <c r="X4" s="345"/>
      <c r="Y4" s="346"/>
      <c r="Z4" s="344" t="s">
        <v>305</v>
      </c>
      <c r="AA4" s="345"/>
      <c r="AB4" s="346"/>
      <c r="AC4" s="344" t="s">
        <v>306</v>
      </c>
      <c r="AD4" s="345"/>
      <c r="AE4" s="346"/>
      <c r="AF4" s="344" t="s">
        <v>307</v>
      </c>
      <c r="AG4" s="345"/>
      <c r="AH4" s="346"/>
      <c r="AI4" s="344" t="s">
        <v>308</v>
      </c>
      <c r="AJ4" s="345"/>
      <c r="AK4" s="346"/>
      <c r="AL4" s="344" t="s">
        <v>309</v>
      </c>
      <c r="AM4" s="345"/>
      <c r="AN4" s="346"/>
      <c r="AO4" s="344" t="s">
        <v>310</v>
      </c>
      <c r="AP4" s="345"/>
      <c r="AQ4" s="346"/>
      <c r="AR4" s="344" t="s">
        <v>444</v>
      </c>
      <c r="AS4" s="345"/>
      <c r="AT4" s="346"/>
      <c r="AU4" s="344" t="s">
        <v>311</v>
      </c>
      <c r="AV4" s="345"/>
      <c r="AW4" s="346"/>
      <c r="AX4" s="344" t="s">
        <v>312</v>
      </c>
      <c r="AY4" s="345"/>
      <c r="AZ4" s="346"/>
      <c r="BA4" s="344" t="s">
        <v>445</v>
      </c>
      <c r="BB4" s="345"/>
      <c r="BC4" s="346"/>
      <c r="BD4" s="344" t="s">
        <v>278</v>
      </c>
      <c r="BE4" s="345"/>
      <c r="BF4" s="346"/>
      <c r="BG4" s="344" t="s">
        <v>313</v>
      </c>
      <c r="BH4" s="345"/>
      <c r="BI4" s="346"/>
      <c r="BJ4" s="344" t="s">
        <v>314</v>
      </c>
      <c r="BK4" s="345"/>
      <c r="BL4" s="346"/>
      <c r="BM4" s="344" t="s">
        <v>315</v>
      </c>
      <c r="BN4" s="345"/>
      <c r="BO4" s="346"/>
      <c r="BP4" s="344" t="s">
        <v>279</v>
      </c>
      <c r="BQ4" s="345"/>
      <c r="BR4" s="346"/>
      <c r="BS4" s="344" t="s">
        <v>316</v>
      </c>
      <c r="BT4" s="345"/>
      <c r="BU4" s="346"/>
      <c r="BV4" s="344" t="s">
        <v>317</v>
      </c>
      <c r="BW4" s="345"/>
      <c r="BX4" s="346"/>
      <c r="BY4" s="344" t="s">
        <v>411</v>
      </c>
      <c r="BZ4" s="345"/>
      <c r="CA4" s="346"/>
      <c r="CB4" s="344" t="s">
        <v>412</v>
      </c>
      <c r="CC4" s="345"/>
      <c r="CD4" s="346"/>
      <c r="CE4" s="344" t="s">
        <v>460</v>
      </c>
      <c r="CF4" s="345"/>
      <c r="CG4" s="346"/>
      <c r="CH4" s="351"/>
      <c r="CI4" s="352"/>
      <c r="CJ4" s="358"/>
    </row>
    <row r="5" spans="1:88" s="250" customFormat="1" x14ac:dyDescent="0.2">
      <c r="A5" s="239"/>
      <c r="B5" s="304">
        <v>2022</v>
      </c>
      <c r="C5" s="304">
        <v>2023</v>
      </c>
      <c r="D5" s="304" t="s">
        <v>436</v>
      </c>
      <c r="E5" s="304">
        <v>2022</v>
      </c>
      <c r="F5" s="304">
        <v>2023</v>
      </c>
      <c r="G5" s="304" t="s">
        <v>436</v>
      </c>
      <c r="H5" s="304">
        <v>2022</v>
      </c>
      <c r="I5" s="304">
        <v>2023</v>
      </c>
      <c r="J5" s="304" t="s">
        <v>436</v>
      </c>
      <c r="K5" s="304">
        <v>2022</v>
      </c>
      <c r="L5" s="304">
        <v>2023</v>
      </c>
      <c r="M5" s="304" t="s">
        <v>436</v>
      </c>
      <c r="N5" s="304">
        <v>2022</v>
      </c>
      <c r="O5" s="304">
        <v>2023</v>
      </c>
      <c r="P5" s="304" t="s">
        <v>436</v>
      </c>
      <c r="Q5" s="304">
        <v>2022</v>
      </c>
      <c r="R5" s="304">
        <v>2023</v>
      </c>
      <c r="S5" s="304" t="s">
        <v>436</v>
      </c>
      <c r="T5" s="304">
        <v>2022</v>
      </c>
      <c r="U5" s="304">
        <v>2023</v>
      </c>
      <c r="V5" s="304" t="s">
        <v>436</v>
      </c>
      <c r="W5" s="304">
        <v>2022</v>
      </c>
      <c r="X5" s="304">
        <v>2023</v>
      </c>
      <c r="Y5" s="304" t="s">
        <v>436</v>
      </c>
      <c r="Z5" s="304">
        <v>2022</v>
      </c>
      <c r="AA5" s="304">
        <v>2023</v>
      </c>
      <c r="AB5" s="304" t="s">
        <v>436</v>
      </c>
      <c r="AC5" s="304">
        <v>2022</v>
      </c>
      <c r="AD5" s="304">
        <v>2023</v>
      </c>
      <c r="AE5" s="304" t="s">
        <v>436</v>
      </c>
      <c r="AF5" s="304">
        <v>2022</v>
      </c>
      <c r="AG5" s="304">
        <v>2023</v>
      </c>
      <c r="AH5" s="304" t="s">
        <v>436</v>
      </c>
      <c r="AI5" s="304">
        <v>2022</v>
      </c>
      <c r="AJ5" s="304">
        <v>2023</v>
      </c>
      <c r="AK5" s="304" t="s">
        <v>436</v>
      </c>
      <c r="AL5" s="304">
        <v>2022</v>
      </c>
      <c r="AM5" s="304">
        <v>2023</v>
      </c>
      <c r="AN5" s="304" t="s">
        <v>436</v>
      </c>
      <c r="AO5" s="304">
        <v>2022</v>
      </c>
      <c r="AP5" s="304">
        <v>2023</v>
      </c>
      <c r="AQ5" s="304" t="s">
        <v>436</v>
      </c>
      <c r="AR5" s="304">
        <v>2022</v>
      </c>
      <c r="AS5" s="304">
        <v>2023</v>
      </c>
      <c r="AT5" s="304" t="s">
        <v>436</v>
      </c>
      <c r="AU5" s="304">
        <v>2022</v>
      </c>
      <c r="AV5" s="304">
        <v>2023</v>
      </c>
      <c r="AW5" s="304" t="s">
        <v>436</v>
      </c>
      <c r="AX5" s="304">
        <v>2022</v>
      </c>
      <c r="AY5" s="304">
        <v>2023</v>
      </c>
      <c r="AZ5" s="304" t="s">
        <v>436</v>
      </c>
      <c r="BA5" s="304">
        <v>2022</v>
      </c>
      <c r="BB5" s="304">
        <v>2023</v>
      </c>
      <c r="BC5" s="304" t="s">
        <v>436</v>
      </c>
      <c r="BD5" s="304">
        <v>2022</v>
      </c>
      <c r="BE5" s="304">
        <v>2023</v>
      </c>
      <c r="BF5" s="304" t="s">
        <v>436</v>
      </c>
      <c r="BG5" s="304">
        <v>2022</v>
      </c>
      <c r="BH5" s="304">
        <v>2023</v>
      </c>
      <c r="BI5" s="304" t="s">
        <v>436</v>
      </c>
      <c r="BJ5" s="304">
        <v>2022</v>
      </c>
      <c r="BK5" s="304">
        <v>2023</v>
      </c>
      <c r="BL5" s="304" t="s">
        <v>436</v>
      </c>
      <c r="BM5" s="304">
        <v>2022</v>
      </c>
      <c r="BN5" s="304">
        <v>2023</v>
      </c>
      <c r="BO5" s="304" t="s">
        <v>436</v>
      </c>
      <c r="BP5" s="304">
        <v>2022</v>
      </c>
      <c r="BQ5" s="304">
        <v>2023</v>
      </c>
      <c r="BR5" s="304" t="s">
        <v>436</v>
      </c>
      <c r="BS5" s="304">
        <v>2022</v>
      </c>
      <c r="BT5" s="304">
        <v>2023</v>
      </c>
      <c r="BU5" s="304" t="s">
        <v>436</v>
      </c>
      <c r="BV5" s="304">
        <v>2022</v>
      </c>
      <c r="BW5" s="304">
        <v>2023</v>
      </c>
      <c r="BX5" s="304" t="s">
        <v>436</v>
      </c>
      <c r="BY5" s="304">
        <v>2022</v>
      </c>
      <c r="BZ5" s="304">
        <v>2023</v>
      </c>
      <c r="CA5" s="304" t="s">
        <v>436</v>
      </c>
      <c r="CB5" s="304">
        <v>2022</v>
      </c>
      <c r="CC5" s="304">
        <v>2023</v>
      </c>
      <c r="CD5" s="304" t="s">
        <v>436</v>
      </c>
      <c r="CE5" s="304">
        <v>2022</v>
      </c>
      <c r="CF5" s="304">
        <v>2023</v>
      </c>
      <c r="CG5" s="304" t="s">
        <v>436</v>
      </c>
      <c r="CH5" s="304">
        <v>2022</v>
      </c>
      <c r="CI5" s="304">
        <v>2023</v>
      </c>
      <c r="CJ5" s="304" t="s">
        <v>436</v>
      </c>
    </row>
    <row r="6" spans="1:88" s="215" customFormat="1" ht="12" customHeight="1" x14ac:dyDescent="0.2">
      <c r="A6" s="239"/>
      <c r="B6" s="344" t="s">
        <v>246</v>
      </c>
      <c r="C6" s="345"/>
      <c r="D6" s="346"/>
      <c r="E6" s="344" t="s">
        <v>246</v>
      </c>
      <c r="F6" s="345"/>
      <c r="G6" s="346"/>
      <c r="H6" s="344" t="s">
        <v>246</v>
      </c>
      <c r="I6" s="345"/>
      <c r="J6" s="346"/>
      <c r="K6" s="344" t="s">
        <v>246</v>
      </c>
      <c r="L6" s="345"/>
      <c r="M6" s="346"/>
      <c r="N6" s="344" t="s">
        <v>246</v>
      </c>
      <c r="O6" s="345"/>
      <c r="P6" s="346"/>
      <c r="Q6" s="344" t="s">
        <v>247</v>
      </c>
      <c r="R6" s="345"/>
      <c r="S6" s="346"/>
      <c r="T6" s="344" t="s">
        <v>246</v>
      </c>
      <c r="U6" s="345"/>
      <c r="V6" s="346"/>
      <c r="W6" s="344" t="s">
        <v>246</v>
      </c>
      <c r="X6" s="345"/>
      <c r="Y6" s="346"/>
      <c r="Z6" s="344" t="s">
        <v>246</v>
      </c>
      <c r="AA6" s="345"/>
      <c r="AB6" s="346"/>
      <c r="AC6" s="344" t="s">
        <v>246</v>
      </c>
      <c r="AD6" s="345"/>
      <c r="AE6" s="346"/>
      <c r="AF6" s="344" t="s">
        <v>246</v>
      </c>
      <c r="AG6" s="345"/>
      <c r="AH6" s="346"/>
      <c r="AI6" s="344" t="s">
        <v>246</v>
      </c>
      <c r="AJ6" s="345"/>
      <c r="AK6" s="346"/>
      <c r="AL6" s="344" t="s">
        <v>246</v>
      </c>
      <c r="AM6" s="345"/>
      <c r="AN6" s="346"/>
      <c r="AO6" s="344" t="s">
        <v>246</v>
      </c>
      <c r="AP6" s="345"/>
      <c r="AQ6" s="346"/>
      <c r="AR6" s="344" t="s">
        <v>246</v>
      </c>
      <c r="AS6" s="345"/>
      <c r="AT6" s="346"/>
      <c r="AU6" s="344" t="s">
        <v>246</v>
      </c>
      <c r="AV6" s="345"/>
      <c r="AW6" s="346"/>
      <c r="AX6" s="344" t="s">
        <v>246</v>
      </c>
      <c r="AY6" s="345"/>
      <c r="AZ6" s="346"/>
      <c r="BA6" s="344" t="s">
        <v>246</v>
      </c>
      <c r="BB6" s="345"/>
      <c r="BC6" s="346"/>
      <c r="BD6" s="344" t="s">
        <v>246</v>
      </c>
      <c r="BE6" s="345"/>
      <c r="BF6" s="346"/>
      <c r="BG6" s="354" t="s">
        <v>246</v>
      </c>
      <c r="BH6" s="353"/>
      <c r="BI6" s="307"/>
      <c r="BJ6" s="344" t="s">
        <v>246</v>
      </c>
      <c r="BK6" s="345"/>
      <c r="BL6" s="346"/>
      <c r="BM6" s="344" t="s">
        <v>246</v>
      </c>
      <c r="BN6" s="345"/>
      <c r="BO6" s="346"/>
      <c r="BP6" s="344" t="s">
        <v>246</v>
      </c>
      <c r="BQ6" s="345"/>
      <c r="BR6" s="346"/>
      <c r="BS6" s="344" t="s">
        <v>246</v>
      </c>
      <c r="BT6" s="345"/>
      <c r="BU6" s="346"/>
      <c r="BV6" s="344" t="s">
        <v>102</v>
      </c>
      <c r="BW6" s="345"/>
      <c r="BX6" s="346"/>
      <c r="BY6" s="344" t="s">
        <v>102</v>
      </c>
      <c r="BZ6" s="345"/>
      <c r="CA6" s="346"/>
      <c r="CB6" s="344" t="s">
        <v>102</v>
      </c>
      <c r="CC6" s="345"/>
      <c r="CD6" s="346"/>
      <c r="CE6" s="344" t="s">
        <v>102</v>
      </c>
      <c r="CF6" s="345"/>
      <c r="CG6" s="346"/>
      <c r="CH6" s="359" t="s">
        <v>246</v>
      </c>
      <c r="CI6" s="360"/>
      <c r="CJ6" s="360"/>
    </row>
    <row r="7" spans="1:88" s="216" customFormat="1" ht="15" x14ac:dyDescent="0.2">
      <c r="A7" s="306" t="s">
        <v>39</v>
      </c>
      <c r="B7" s="253"/>
      <c r="C7" s="254"/>
      <c r="D7" s="254"/>
      <c r="E7" s="253"/>
      <c r="F7" s="254"/>
      <c r="G7" s="254"/>
      <c r="H7" s="253"/>
      <c r="I7" s="254"/>
      <c r="J7" s="254"/>
      <c r="K7" s="253"/>
      <c r="L7" s="254"/>
      <c r="M7" s="254"/>
      <c r="N7" s="253"/>
      <c r="O7" s="254"/>
      <c r="P7" s="254"/>
      <c r="Q7" s="253"/>
      <c r="R7" s="254"/>
      <c r="S7" s="254"/>
      <c r="T7" s="253"/>
      <c r="U7" s="254"/>
      <c r="V7" s="254"/>
      <c r="W7" s="253"/>
      <c r="X7" s="255"/>
      <c r="Y7" s="255"/>
      <c r="Z7" s="253"/>
      <c r="AA7" s="254"/>
      <c r="AB7" s="254"/>
      <c r="AC7" s="253"/>
      <c r="AD7" s="254"/>
      <c r="AE7" s="254"/>
      <c r="AF7" s="253"/>
      <c r="AG7" s="254"/>
      <c r="AH7" s="254"/>
      <c r="AI7" s="253"/>
      <c r="AJ7" s="254"/>
      <c r="AK7" s="254"/>
      <c r="AL7" s="253"/>
      <c r="AM7" s="254"/>
      <c r="AN7" s="254"/>
      <c r="AO7" s="253"/>
      <c r="AP7" s="254"/>
      <c r="AQ7" s="254"/>
      <c r="AR7" s="253"/>
      <c r="AS7" s="254"/>
      <c r="AT7" s="254"/>
      <c r="AU7" s="253"/>
      <c r="AV7" s="254"/>
      <c r="AW7" s="254"/>
      <c r="AX7" s="253"/>
      <c r="AY7" s="254"/>
      <c r="AZ7" s="254"/>
      <c r="BA7" s="253"/>
      <c r="BB7" s="254"/>
      <c r="BC7" s="254"/>
      <c r="BD7" s="253"/>
      <c r="BE7" s="254"/>
      <c r="BF7" s="254"/>
      <c r="BG7" s="253"/>
      <c r="BH7" s="254"/>
      <c r="BI7" s="254"/>
      <c r="BJ7" s="253"/>
      <c r="BK7" s="254"/>
      <c r="BL7" s="254"/>
      <c r="BM7" s="253"/>
      <c r="BN7" s="254"/>
      <c r="BO7" s="254"/>
      <c r="BP7" s="253"/>
      <c r="BQ7" s="254"/>
      <c r="BR7" s="254"/>
      <c r="BS7" s="253"/>
      <c r="BT7" s="254"/>
      <c r="BU7" s="254"/>
      <c r="BV7" s="253"/>
      <c r="BW7" s="254"/>
      <c r="BX7" s="254"/>
      <c r="BY7" s="253"/>
      <c r="BZ7" s="254"/>
      <c r="CA7" s="254"/>
      <c r="CB7" s="253"/>
      <c r="CC7" s="254"/>
      <c r="CD7" s="254"/>
      <c r="CE7" s="253"/>
      <c r="CF7" s="254"/>
      <c r="CG7" s="254"/>
      <c r="CH7" s="253"/>
      <c r="CI7" s="254"/>
      <c r="CJ7" s="254"/>
    </row>
    <row r="8" spans="1:88" s="216" customFormat="1" x14ac:dyDescent="0.2">
      <c r="B8" s="209"/>
      <c r="C8" s="211"/>
      <c r="D8" s="211"/>
      <c r="E8" s="209"/>
      <c r="F8" s="211"/>
      <c r="G8" s="211"/>
      <c r="H8" s="209"/>
      <c r="I8" s="211"/>
      <c r="J8" s="211"/>
      <c r="K8" s="209"/>
      <c r="L8" s="211"/>
      <c r="M8" s="211"/>
      <c r="N8" s="209"/>
      <c r="O8" s="211"/>
      <c r="P8" s="211"/>
      <c r="Q8" s="209"/>
      <c r="R8" s="211"/>
      <c r="S8" s="211"/>
      <c r="T8" s="209"/>
      <c r="U8" s="211"/>
      <c r="V8" s="211"/>
      <c r="W8" s="209"/>
      <c r="X8" s="217"/>
      <c r="Y8" s="217"/>
      <c r="Z8" s="209"/>
      <c r="AA8" s="211"/>
      <c r="AB8" s="211"/>
      <c r="AC8" s="209"/>
      <c r="AD8" s="211"/>
      <c r="AE8" s="211"/>
      <c r="AF8" s="209"/>
      <c r="AG8" s="211"/>
      <c r="AH8" s="211"/>
      <c r="AI8" s="209"/>
      <c r="AJ8" s="211"/>
      <c r="AK8" s="211"/>
      <c r="AL8" s="209"/>
      <c r="AM8" s="211"/>
      <c r="AN8" s="211"/>
      <c r="AO8" s="209"/>
      <c r="AP8" s="211"/>
      <c r="AQ8" s="211"/>
      <c r="AR8" s="209"/>
      <c r="AS8" s="211"/>
      <c r="AT8" s="211"/>
      <c r="AU8" s="209"/>
      <c r="AV8" s="211"/>
      <c r="AW8" s="211"/>
      <c r="AX8" s="209"/>
      <c r="AY8" s="211"/>
      <c r="AZ8" s="211"/>
      <c r="BA8" s="209"/>
      <c r="BB8" s="211"/>
      <c r="BC8" s="211"/>
      <c r="BD8" s="209"/>
      <c r="BE8" s="211"/>
      <c r="BF8" s="211"/>
      <c r="BG8" s="209"/>
      <c r="BH8" s="211"/>
      <c r="BI8" s="211"/>
      <c r="BJ8" s="209"/>
      <c r="BK8" s="211"/>
      <c r="BL8" s="211"/>
      <c r="BM8" s="209"/>
      <c r="BN8" s="211"/>
      <c r="BO8" s="211"/>
      <c r="BP8" s="209"/>
      <c r="BQ8" s="211"/>
      <c r="BR8" s="211"/>
      <c r="BS8" s="209"/>
      <c r="BT8" s="211"/>
      <c r="BU8" s="211"/>
      <c r="BV8" s="209"/>
      <c r="BW8" s="211"/>
      <c r="BX8" s="211"/>
      <c r="BY8" s="209"/>
      <c r="BZ8" s="211"/>
      <c r="CA8" s="211"/>
      <c r="CB8" s="209"/>
      <c r="CC8" s="211"/>
      <c r="CD8" s="211"/>
      <c r="CE8" s="209"/>
      <c r="CF8" s="211"/>
      <c r="CG8" s="211"/>
      <c r="CH8" s="209"/>
      <c r="CI8" s="211"/>
      <c r="CJ8" s="211"/>
    </row>
    <row r="9" spans="1:88" s="216" customFormat="1" x14ac:dyDescent="0.2">
      <c r="A9" s="218" t="s">
        <v>40</v>
      </c>
      <c r="B9" s="209"/>
      <c r="C9" s="211"/>
      <c r="D9" s="211"/>
      <c r="E9" s="209"/>
      <c r="F9" s="211"/>
      <c r="G9" s="211"/>
      <c r="H9" s="209"/>
      <c r="I9" s="211"/>
      <c r="J9" s="211"/>
      <c r="K9" s="209"/>
      <c r="L9" s="211"/>
      <c r="M9" s="211"/>
      <c r="N9" s="209"/>
      <c r="O9" s="211"/>
      <c r="P9" s="211"/>
      <c r="Q9" s="209"/>
      <c r="R9" s="211"/>
      <c r="S9" s="211"/>
      <c r="T9" s="209"/>
      <c r="U9" s="211"/>
      <c r="V9" s="211"/>
      <c r="W9" s="209"/>
      <c r="X9" s="217"/>
      <c r="Y9" s="217"/>
      <c r="Z9" s="209"/>
      <c r="AA9" s="211"/>
      <c r="AB9" s="211"/>
      <c r="AC9" s="209"/>
      <c r="AD9" s="211"/>
      <c r="AE9" s="211"/>
      <c r="AF9" s="209"/>
      <c r="AG9" s="211"/>
      <c r="AH9" s="211"/>
      <c r="AI9" s="209"/>
      <c r="AJ9" s="211"/>
      <c r="AK9" s="211"/>
      <c r="AL9" s="209"/>
      <c r="AM9" s="211"/>
      <c r="AN9" s="211"/>
      <c r="AO9" s="209"/>
      <c r="AP9" s="211"/>
      <c r="AQ9" s="211"/>
      <c r="AR9" s="209"/>
      <c r="AS9" s="211"/>
      <c r="AT9" s="211"/>
      <c r="AU9" s="209"/>
      <c r="AV9" s="211"/>
      <c r="AW9" s="211"/>
      <c r="AX9" s="209"/>
      <c r="AY9" s="211"/>
      <c r="AZ9" s="211"/>
      <c r="BA9" s="209"/>
      <c r="BB9" s="211"/>
      <c r="BC9" s="211"/>
      <c r="BD9" s="209"/>
      <c r="BE9" s="211"/>
      <c r="BF9" s="211"/>
      <c r="BG9" s="209"/>
      <c r="BH9" s="211"/>
      <c r="BI9" s="211"/>
      <c r="BJ9" s="209"/>
      <c r="BK9" s="211"/>
      <c r="BL9" s="211"/>
      <c r="BM9" s="209"/>
      <c r="BN9" s="211"/>
      <c r="BO9" s="211"/>
      <c r="BP9" s="209"/>
      <c r="BQ9" s="211"/>
      <c r="BR9" s="211"/>
      <c r="BS9" s="209"/>
      <c r="BT9" s="211"/>
      <c r="BU9" s="211"/>
      <c r="BV9" s="209"/>
      <c r="BW9" s="211"/>
      <c r="BX9" s="211"/>
      <c r="BY9" s="209"/>
      <c r="BZ9" s="211"/>
      <c r="CA9" s="211"/>
      <c r="CB9" s="209"/>
      <c r="CC9" s="211"/>
      <c r="CD9" s="211"/>
      <c r="CE9" s="209"/>
      <c r="CF9" s="211"/>
      <c r="CG9" s="211"/>
      <c r="CH9" s="209"/>
      <c r="CI9" s="211"/>
      <c r="CJ9" s="211"/>
    </row>
    <row r="10" spans="1:88" x14ac:dyDescent="0.2">
      <c r="A10" s="214" t="s">
        <v>41</v>
      </c>
      <c r="B10" s="209">
        <v>18686668000</v>
      </c>
      <c r="C10" s="213">
        <v>45776326000</v>
      </c>
      <c r="D10" s="213">
        <v>41479988000</v>
      </c>
      <c r="E10" s="209">
        <v>2618905151000</v>
      </c>
      <c r="F10" s="213">
        <v>2019558805000</v>
      </c>
      <c r="G10" s="213">
        <v>2264492842000</v>
      </c>
      <c r="H10" s="209">
        <f>305420120000+1272922000</f>
        <v>306693042000</v>
      </c>
      <c r="I10" s="213">
        <v>280791829000</v>
      </c>
      <c r="J10" s="213">
        <v>256128316000</v>
      </c>
      <c r="K10" s="209">
        <v>372186024</v>
      </c>
      <c r="L10" s="213">
        <v>377635677</v>
      </c>
      <c r="M10" s="213"/>
      <c r="N10" s="209">
        <v>2877649964</v>
      </c>
      <c r="O10" s="213">
        <v>6394334989</v>
      </c>
      <c r="P10" s="213">
        <v>18644831421</v>
      </c>
      <c r="Q10" s="209">
        <v>4812525602</v>
      </c>
      <c r="R10" s="213">
        <v>5550192760</v>
      </c>
      <c r="S10" s="213">
        <v>8127613883</v>
      </c>
      <c r="T10" s="209">
        <v>1927716000</v>
      </c>
      <c r="U10" s="213">
        <v>1894229000</v>
      </c>
      <c r="V10" s="213">
        <v>2909587000</v>
      </c>
      <c r="W10" s="209">
        <v>395110758000</v>
      </c>
      <c r="X10" s="221">
        <v>281093671000</v>
      </c>
      <c r="Y10" s="221">
        <v>377063683000</v>
      </c>
      <c r="Z10" s="209">
        <v>6476865000</v>
      </c>
      <c r="AA10" s="213">
        <v>3772940000</v>
      </c>
      <c r="AB10" s="213">
        <v>25069979000</v>
      </c>
      <c r="AC10" s="209">
        <v>150127947000</v>
      </c>
      <c r="AD10" s="213">
        <v>71238357000</v>
      </c>
      <c r="AE10" s="213">
        <v>76582795000</v>
      </c>
      <c r="AF10" s="209">
        <v>350924000</v>
      </c>
      <c r="AG10" s="213">
        <v>352412000</v>
      </c>
      <c r="AH10" s="213">
        <v>265921000</v>
      </c>
      <c r="AI10" s="209">
        <v>72928088000</v>
      </c>
      <c r="AJ10" s="213">
        <v>140986004000</v>
      </c>
      <c r="AK10" s="213">
        <v>161330379000</v>
      </c>
      <c r="AL10" s="209">
        <v>905778000</v>
      </c>
      <c r="AM10" s="213">
        <v>3998361000</v>
      </c>
      <c r="AN10" s="213">
        <v>13005005000</v>
      </c>
      <c r="AO10" s="209">
        <v>19469001267</v>
      </c>
      <c r="AP10" s="213">
        <v>19297848585</v>
      </c>
      <c r="AQ10" s="213"/>
      <c r="AR10" s="209">
        <v>50190585364</v>
      </c>
      <c r="AS10" s="213">
        <v>86793868615</v>
      </c>
      <c r="AT10" s="213">
        <v>112432180984</v>
      </c>
      <c r="AU10" s="209">
        <v>4189365122</v>
      </c>
      <c r="AV10" s="213">
        <v>20615437958</v>
      </c>
      <c r="AW10" s="213">
        <v>19324176951</v>
      </c>
      <c r="AX10" s="209">
        <v>87626060000</v>
      </c>
      <c r="AY10" s="213">
        <v>105809786000</v>
      </c>
      <c r="AZ10" s="213">
        <f>3546503463+118026650156</f>
        <v>121573153619</v>
      </c>
      <c r="BA10" s="209">
        <v>13105194201</v>
      </c>
      <c r="BB10" s="213">
        <v>28909903040</v>
      </c>
      <c r="BC10" s="213">
        <v>39755577819</v>
      </c>
      <c r="BD10" s="209">
        <v>30089043000</v>
      </c>
      <c r="BE10" s="213">
        <v>27136499000</v>
      </c>
      <c r="BF10" s="213">
        <v>73617323144</v>
      </c>
      <c r="BG10" s="209">
        <v>294187173</v>
      </c>
      <c r="BH10" s="213">
        <v>201453288</v>
      </c>
      <c r="BI10" s="213">
        <f>143579099+126617269</f>
        <v>270196368</v>
      </c>
      <c r="BJ10" s="209">
        <v>10903503225</v>
      </c>
      <c r="BK10" s="213">
        <v>11343543785</v>
      </c>
      <c r="BL10" s="213">
        <f>5007535630+101602672589</f>
        <v>106610208219</v>
      </c>
      <c r="BM10" s="209">
        <v>48312934623</v>
      </c>
      <c r="BN10" s="213">
        <v>83846314039</v>
      </c>
      <c r="BO10" s="213"/>
      <c r="BP10" s="209">
        <v>17062041433</v>
      </c>
      <c r="BQ10" s="213">
        <v>14074990098</v>
      </c>
      <c r="BR10" s="213">
        <v>164590541415</v>
      </c>
      <c r="BS10" s="209">
        <v>16500764054</v>
      </c>
      <c r="BT10" s="213">
        <v>15836866713</v>
      </c>
      <c r="BU10" s="213">
        <f>116250190805-360591913</f>
        <v>115889598892</v>
      </c>
      <c r="BV10" s="209">
        <v>323920270</v>
      </c>
      <c r="BW10" s="213">
        <v>833576009</v>
      </c>
      <c r="BX10" s="213"/>
      <c r="BY10" s="209">
        <v>8405619315</v>
      </c>
      <c r="BZ10" s="213">
        <v>9720840098</v>
      </c>
      <c r="CA10" s="213">
        <f>1364385859+143410720755</f>
        <v>144775106614</v>
      </c>
      <c r="CB10" s="209">
        <v>517526567000</v>
      </c>
      <c r="CC10" s="213">
        <v>419809414000</v>
      </c>
      <c r="CD10" s="213">
        <v>573072919000</v>
      </c>
      <c r="CE10" s="209"/>
      <c r="CF10" s="213"/>
      <c r="CG10" s="213">
        <v>11169578303</v>
      </c>
      <c r="CH10" s="209">
        <f>+B10+E10+H10+K10+N10+Q10+T10+W10+Z10+AC10+AF10+AI10+AL10+AO10+AR10+AU10+AX10+BA10+BD10+BG10+BJ10+BM10+BP10+BS10+BV10+BY10+CB10</f>
        <v>4404174084637</v>
      </c>
      <c r="CI10" s="209">
        <f t="shared" ref="CI10:CJ11" si="0">+C10+F10+I10+L10+O10+R10+U10+X10+AA10+AD10+AG10+AJ10+AM10+AP10+AS10+AV10+AY10+BB10+BE10+BH10+BK10+BN10+BQ10+BT10+BW10+BZ10+CC10</f>
        <v>3706015438654</v>
      </c>
      <c r="CJ10" s="209">
        <f t="shared" si="0"/>
        <v>4717011923329</v>
      </c>
    </row>
    <row r="11" spans="1:88" x14ac:dyDescent="0.2">
      <c r="A11" s="214" t="s">
        <v>42</v>
      </c>
      <c r="B11" s="213">
        <v>391671000</v>
      </c>
      <c r="C11" s="213"/>
      <c r="D11" s="213">
        <v>13188000</v>
      </c>
      <c r="E11" s="213">
        <v>100000000</v>
      </c>
      <c r="F11" s="213">
        <v>100000000</v>
      </c>
      <c r="G11" s="213">
        <v>106841000</v>
      </c>
      <c r="H11" s="213"/>
      <c r="I11" s="213"/>
      <c r="J11" s="213"/>
      <c r="K11" s="213">
        <v>4402145</v>
      </c>
      <c r="L11" s="213">
        <v>0</v>
      </c>
      <c r="M11" s="213"/>
      <c r="N11" s="213">
        <v>7164803235</v>
      </c>
      <c r="O11" s="213">
        <v>5235770385</v>
      </c>
      <c r="P11" s="213"/>
      <c r="Q11" s="213"/>
      <c r="R11" s="213"/>
      <c r="S11" s="213"/>
      <c r="T11" s="213"/>
      <c r="U11" s="213"/>
      <c r="V11" s="213"/>
      <c r="W11" s="209">
        <f>99130000+14536000</f>
        <v>113666000</v>
      </c>
      <c r="X11" s="221">
        <v>105817000</v>
      </c>
      <c r="Y11" s="221">
        <v>105798000</v>
      </c>
      <c r="Z11" s="213"/>
      <c r="AA11" s="213"/>
      <c r="AB11" s="213"/>
      <c r="AC11" s="213"/>
      <c r="AD11" s="213"/>
      <c r="AE11" s="213"/>
      <c r="AF11" s="213"/>
      <c r="AG11" s="213"/>
      <c r="AH11" s="213"/>
      <c r="AI11" s="213"/>
      <c r="AJ11" s="213"/>
      <c r="AK11" s="213"/>
      <c r="AL11" s="213"/>
      <c r="AM11" s="213"/>
      <c r="AN11" s="213"/>
      <c r="AO11" s="213">
        <v>225100752</v>
      </c>
      <c r="AP11" s="213">
        <v>164686846</v>
      </c>
      <c r="AQ11" s="213"/>
      <c r="AR11" s="213"/>
      <c r="AS11" s="213"/>
      <c r="AT11" s="213"/>
      <c r="AU11" s="213"/>
      <c r="AV11" s="213"/>
      <c r="AW11" s="213"/>
      <c r="AX11" s="213">
        <v>392436000</v>
      </c>
      <c r="AY11" s="213">
        <v>2841097000</v>
      </c>
      <c r="AZ11" s="213">
        <f>46808492+16959052+2784926666+3000</f>
        <v>2848697210</v>
      </c>
      <c r="BA11" s="213"/>
      <c r="BB11" s="213"/>
      <c r="BC11" s="213"/>
      <c r="BD11" s="213">
        <v>29195000</v>
      </c>
      <c r="BE11" s="213">
        <v>116535000</v>
      </c>
      <c r="BF11" s="213">
        <v>98288873</v>
      </c>
      <c r="BG11" s="213"/>
      <c r="BH11" s="213">
        <v>12407595</v>
      </c>
      <c r="BI11" s="213">
        <v>17232991</v>
      </c>
      <c r="BJ11" s="213">
        <v>611351526</v>
      </c>
      <c r="BK11" s="213">
        <v>871172020</v>
      </c>
      <c r="BL11" s="213">
        <v>23773275</v>
      </c>
      <c r="BM11" s="213">
        <v>942030988</v>
      </c>
      <c r="BN11" s="213"/>
      <c r="BO11" s="213"/>
      <c r="BP11" s="213"/>
      <c r="BQ11" s="213"/>
      <c r="BR11" s="213"/>
      <c r="BS11" s="213">
        <v>359375472</v>
      </c>
      <c r="BT11" s="213">
        <v>369690237</v>
      </c>
      <c r="BU11" s="213">
        <v>360591913</v>
      </c>
      <c r="BV11" s="213">
        <v>27466134</v>
      </c>
      <c r="BW11" s="213">
        <v>1912197547</v>
      </c>
      <c r="BX11" s="213"/>
      <c r="BY11" s="213">
        <v>231177441</v>
      </c>
      <c r="BZ11" s="213">
        <v>9575038993</v>
      </c>
      <c r="CA11" s="213">
        <v>239799153</v>
      </c>
      <c r="CB11" s="213">
        <v>21805817000</v>
      </c>
      <c r="CC11" s="213">
        <v>18138198000</v>
      </c>
      <c r="CD11" s="213">
        <v>25335965000</v>
      </c>
      <c r="CE11" s="213"/>
      <c r="CF11" s="213"/>
      <c r="CG11" s="213"/>
      <c r="CH11" s="209">
        <f t="shared" ref="CH11" si="1">+B11+E11+H11+K11+N11+Q11+T11+W11+Z11+AC11+AF11+AI11+AL11+AO11+AR11+AU11+AX11+BA11+BD11+BG11+BJ11+BM11+BP11+BS11+BV11+BY11+CB11</f>
        <v>32398492693</v>
      </c>
      <c r="CI11" s="209">
        <f t="shared" si="0"/>
        <v>39442610623</v>
      </c>
      <c r="CJ11" s="209">
        <f t="shared" si="0"/>
        <v>29150175415</v>
      </c>
    </row>
    <row r="12" spans="1:88" s="224" customFormat="1" x14ac:dyDescent="0.2">
      <c r="A12" s="223" t="s">
        <v>43</v>
      </c>
      <c r="B12" s="210">
        <f t="shared" ref="B12:AW12" si="2">+B10+B11</f>
        <v>19078339000</v>
      </c>
      <c r="C12" s="210">
        <f t="shared" si="2"/>
        <v>45776326000</v>
      </c>
      <c r="D12" s="210">
        <f t="shared" si="2"/>
        <v>41493176000</v>
      </c>
      <c r="E12" s="210">
        <f t="shared" si="2"/>
        <v>2619005151000</v>
      </c>
      <c r="F12" s="210">
        <f t="shared" si="2"/>
        <v>2019658805000</v>
      </c>
      <c r="G12" s="210">
        <f t="shared" si="2"/>
        <v>2264599683000</v>
      </c>
      <c r="H12" s="210">
        <f t="shared" si="2"/>
        <v>306693042000</v>
      </c>
      <c r="I12" s="210">
        <f t="shared" si="2"/>
        <v>280791829000</v>
      </c>
      <c r="J12" s="210">
        <f t="shared" si="2"/>
        <v>256128316000</v>
      </c>
      <c r="K12" s="210">
        <f t="shared" si="2"/>
        <v>376588169</v>
      </c>
      <c r="L12" s="210">
        <f t="shared" si="2"/>
        <v>377635677</v>
      </c>
      <c r="M12" s="210"/>
      <c r="N12" s="210">
        <f t="shared" si="2"/>
        <v>10042453199</v>
      </c>
      <c r="O12" s="210">
        <f t="shared" si="2"/>
        <v>11630105374</v>
      </c>
      <c r="P12" s="210">
        <f t="shared" si="2"/>
        <v>18644831421</v>
      </c>
      <c r="Q12" s="210">
        <f t="shared" si="2"/>
        <v>4812525602</v>
      </c>
      <c r="R12" s="210">
        <f t="shared" si="2"/>
        <v>5550192760</v>
      </c>
      <c r="S12" s="210">
        <f t="shared" si="2"/>
        <v>8127613883</v>
      </c>
      <c r="T12" s="210">
        <f t="shared" si="2"/>
        <v>1927716000</v>
      </c>
      <c r="U12" s="210">
        <f t="shared" si="2"/>
        <v>1894229000</v>
      </c>
      <c r="V12" s="210">
        <f>+V10+V11</f>
        <v>2909587000</v>
      </c>
      <c r="W12" s="210">
        <f t="shared" si="2"/>
        <v>395224424000</v>
      </c>
      <c r="X12" s="225">
        <f t="shared" si="2"/>
        <v>281199488000</v>
      </c>
      <c r="Y12" s="225">
        <f t="shared" si="2"/>
        <v>377169481000</v>
      </c>
      <c r="Z12" s="210">
        <f t="shared" si="2"/>
        <v>6476865000</v>
      </c>
      <c r="AA12" s="210">
        <f t="shared" si="2"/>
        <v>3772940000</v>
      </c>
      <c r="AB12" s="210">
        <f t="shared" si="2"/>
        <v>25069979000</v>
      </c>
      <c r="AC12" s="210">
        <f t="shared" si="2"/>
        <v>150127947000</v>
      </c>
      <c r="AD12" s="210">
        <f t="shared" si="2"/>
        <v>71238357000</v>
      </c>
      <c r="AE12" s="210">
        <f t="shared" si="2"/>
        <v>76582795000</v>
      </c>
      <c r="AF12" s="210">
        <f t="shared" si="2"/>
        <v>350924000</v>
      </c>
      <c r="AG12" s="210">
        <f t="shared" si="2"/>
        <v>352412000</v>
      </c>
      <c r="AH12" s="210">
        <f t="shared" si="2"/>
        <v>265921000</v>
      </c>
      <c r="AI12" s="210">
        <f t="shared" si="2"/>
        <v>72928088000</v>
      </c>
      <c r="AJ12" s="210">
        <f t="shared" si="2"/>
        <v>140986004000</v>
      </c>
      <c r="AK12" s="210">
        <f t="shared" si="2"/>
        <v>161330379000</v>
      </c>
      <c r="AL12" s="210">
        <f t="shared" si="2"/>
        <v>905778000</v>
      </c>
      <c r="AM12" s="210">
        <f t="shared" si="2"/>
        <v>3998361000</v>
      </c>
      <c r="AN12" s="210">
        <f t="shared" si="2"/>
        <v>13005005000</v>
      </c>
      <c r="AO12" s="210">
        <f t="shared" si="2"/>
        <v>19694102019</v>
      </c>
      <c r="AP12" s="210">
        <f t="shared" si="2"/>
        <v>19462535431</v>
      </c>
      <c r="AQ12" s="210"/>
      <c r="AR12" s="210">
        <f t="shared" si="2"/>
        <v>50190585364</v>
      </c>
      <c r="AS12" s="210">
        <f t="shared" si="2"/>
        <v>86793868615</v>
      </c>
      <c r="AT12" s="210">
        <f t="shared" si="2"/>
        <v>112432180984</v>
      </c>
      <c r="AU12" s="210">
        <f t="shared" si="2"/>
        <v>4189365122</v>
      </c>
      <c r="AV12" s="210">
        <f t="shared" si="2"/>
        <v>20615437958</v>
      </c>
      <c r="AW12" s="210">
        <f t="shared" si="2"/>
        <v>19324176951</v>
      </c>
      <c r="AX12" s="210">
        <f t="shared" ref="AX12:CI12" si="3">+AX10+AX11</f>
        <v>88018496000</v>
      </c>
      <c r="AY12" s="210">
        <f t="shared" si="3"/>
        <v>108650883000</v>
      </c>
      <c r="AZ12" s="210">
        <f t="shared" si="3"/>
        <v>124421850829</v>
      </c>
      <c r="BA12" s="210">
        <f t="shared" si="3"/>
        <v>13105194201</v>
      </c>
      <c r="BB12" s="210">
        <f t="shared" si="3"/>
        <v>28909903040</v>
      </c>
      <c r="BC12" s="210">
        <f t="shared" si="3"/>
        <v>39755577819</v>
      </c>
      <c r="BD12" s="210">
        <f t="shared" si="3"/>
        <v>30118238000</v>
      </c>
      <c r="BE12" s="210">
        <f t="shared" si="3"/>
        <v>27253034000</v>
      </c>
      <c r="BF12" s="210">
        <f t="shared" si="3"/>
        <v>73715612017</v>
      </c>
      <c r="BG12" s="210">
        <f t="shared" si="3"/>
        <v>294187173</v>
      </c>
      <c r="BH12" s="210">
        <f t="shared" si="3"/>
        <v>213860883</v>
      </c>
      <c r="BI12" s="210">
        <f t="shared" si="3"/>
        <v>287429359</v>
      </c>
      <c r="BJ12" s="210">
        <f t="shared" si="3"/>
        <v>11514854751</v>
      </c>
      <c r="BK12" s="210">
        <f t="shared" si="3"/>
        <v>12214715805</v>
      </c>
      <c r="BL12" s="210">
        <f>+BL10+BL11</f>
        <v>106633981494</v>
      </c>
      <c r="BM12" s="210">
        <f t="shared" si="3"/>
        <v>49254965611</v>
      </c>
      <c r="BN12" s="210">
        <f t="shared" si="3"/>
        <v>83846314039</v>
      </c>
      <c r="BO12" s="210"/>
      <c r="BP12" s="210">
        <f t="shared" si="3"/>
        <v>17062041433</v>
      </c>
      <c r="BQ12" s="210">
        <f t="shared" si="3"/>
        <v>14074990098</v>
      </c>
      <c r="BR12" s="210">
        <f>+BR10+BR11</f>
        <v>164590541415</v>
      </c>
      <c r="BS12" s="210">
        <f t="shared" si="3"/>
        <v>16860139526</v>
      </c>
      <c r="BT12" s="210">
        <f t="shared" si="3"/>
        <v>16206556950</v>
      </c>
      <c r="BU12" s="210">
        <f>+BU10+BU11</f>
        <v>116250190805</v>
      </c>
      <c r="BV12" s="210">
        <f t="shared" ref="BV12:CD12" si="4">+BV10+BV11</f>
        <v>351386404</v>
      </c>
      <c r="BW12" s="210">
        <f t="shared" si="4"/>
        <v>2745773556</v>
      </c>
      <c r="BX12" s="210"/>
      <c r="BY12" s="210">
        <f t="shared" si="4"/>
        <v>8636796756</v>
      </c>
      <c r="BZ12" s="210">
        <f t="shared" si="4"/>
        <v>19295879091</v>
      </c>
      <c r="CA12" s="210">
        <f t="shared" si="4"/>
        <v>145014905767</v>
      </c>
      <c r="CB12" s="210">
        <f t="shared" si="4"/>
        <v>539332384000</v>
      </c>
      <c r="CC12" s="210">
        <f t="shared" si="4"/>
        <v>437947612000</v>
      </c>
      <c r="CD12" s="210">
        <f t="shared" si="4"/>
        <v>598408884000</v>
      </c>
      <c r="CE12" s="210">
        <f t="shared" ref="CE12:CG12" si="5">+CE10+CE11</f>
        <v>0</v>
      </c>
      <c r="CF12" s="210">
        <f t="shared" si="5"/>
        <v>0</v>
      </c>
      <c r="CG12" s="210">
        <f t="shared" si="5"/>
        <v>11169578303</v>
      </c>
      <c r="CH12" s="210">
        <f t="shared" si="3"/>
        <v>4436572577330</v>
      </c>
      <c r="CI12" s="210">
        <f t="shared" si="3"/>
        <v>3745458049277</v>
      </c>
      <c r="CJ12" s="210">
        <f t="shared" ref="CJ12" si="6">+CJ10+CJ11</f>
        <v>4746162098744</v>
      </c>
    </row>
    <row r="13" spans="1:88" x14ac:dyDescent="0.2">
      <c r="A13" s="218" t="s">
        <v>44</v>
      </c>
      <c r="B13" s="211"/>
      <c r="C13" s="211"/>
      <c r="D13" s="211"/>
      <c r="E13" s="211"/>
      <c r="F13" s="211"/>
      <c r="G13" s="211"/>
      <c r="H13" s="211"/>
      <c r="I13" s="211"/>
      <c r="J13" s="211"/>
      <c r="K13" s="211"/>
      <c r="L13" s="211"/>
      <c r="M13" s="211"/>
      <c r="N13" s="211"/>
      <c r="O13" s="211"/>
      <c r="P13" s="211"/>
      <c r="Q13" s="211"/>
      <c r="R13" s="211"/>
      <c r="S13" s="211"/>
      <c r="T13" s="211"/>
      <c r="U13" s="211"/>
      <c r="V13" s="211"/>
      <c r="W13" s="211"/>
      <c r="X13" s="217"/>
      <c r="Y13" s="217"/>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row>
    <row r="14" spans="1:88" x14ac:dyDescent="0.2">
      <c r="A14" s="214" t="s">
        <v>45</v>
      </c>
      <c r="B14" s="213">
        <v>14323183000</v>
      </c>
      <c r="C14" s="213">
        <v>36952980000</v>
      </c>
      <c r="D14" s="213">
        <v>31205775000</v>
      </c>
      <c r="E14" s="213">
        <v>1426538695000</v>
      </c>
      <c r="F14" s="213">
        <v>1085107214000</v>
      </c>
      <c r="G14" s="213">
        <f>1184428649000+2000</f>
        <v>1184428651000</v>
      </c>
      <c r="H14" s="213">
        <v>202019000000</v>
      </c>
      <c r="I14" s="213">
        <v>165649294000</v>
      </c>
      <c r="J14" s="213">
        <v>143408498000</v>
      </c>
      <c r="K14" s="213">
        <v>342491960</v>
      </c>
      <c r="L14" s="213">
        <v>343539468</v>
      </c>
      <c r="M14" s="213"/>
      <c r="N14" s="213">
        <v>2860383198</v>
      </c>
      <c r="O14" s="213">
        <v>2493035374</v>
      </c>
      <c r="P14" s="213">
        <v>7679911421</v>
      </c>
      <c r="Q14" s="213">
        <v>4806760966</v>
      </c>
      <c r="R14" s="213">
        <v>5544428124</v>
      </c>
      <c r="S14" s="213">
        <v>8121849247</v>
      </c>
      <c r="T14" s="213">
        <v>894455000</v>
      </c>
      <c r="U14" s="213">
        <v>315614000</v>
      </c>
      <c r="V14" s="213">
        <v>1978425000</v>
      </c>
      <c r="W14" s="209">
        <v>279156379000</v>
      </c>
      <c r="X14" s="221">
        <v>199272222000</v>
      </c>
      <c r="Y14" s="221">
        <v>255589410000</v>
      </c>
      <c r="Z14" s="213">
        <v>28750658000</v>
      </c>
      <c r="AA14" s="213">
        <v>29678484000</v>
      </c>
      <c r="AB14" s="213">
        <v>35103700000</v>
      </c>
      <c r="AC14" s="213">
        <v>63784854000</v>
      </c>
      <c r="AD14" s="213">
        <v>14254332000</v>
      </c>
      <c r="AE14" s="213">
        <v>23371041000</v>
      </c>
      <c r="AF14" s="213">
        <v>2707748000</v>
      </c>
      <c r="AG14" s="213">
        <v>2706379000</v>
      </c>
      <c r="AH14" s="213">
        <v>2641127000</v>
      </c>
      <c r="AI14" s="213">
        <v>37617705000</v>
      </c>
      <c r="AJ14" s="213">
        <v>82343208000</v>
      </c>
      <c r="AK14" s="213">
        <v>78342841000</v>
      </c>
      <c r="AL14" s="213">
        <v>1679814000</v>
      </c>
      <c r="AM14" s="213">
        <v>7906247000</v>
      </c>
      <c r="AN14" s="213">
        <v>15261165000</v>
      </c>
      <c r="AO14" s="209">
        <v>12217522351</v>
      </c>
      <c r="AP14" s="213">
        <v>11262878339</v>
      </c>
      <c r="AQ14" s="213"/>
      <c r="AR14" s="213">
        <v>3466971471</v>
      </c>
      <c r="AS14" s="213">
        <v>5726318624</v>
      </c>
      <c r="AT14" s="213">
        <v>17490059993</v>
      </c>
      <c r="AU14" s="213">
        <v>609486708</v>
      </c>
      <c r="AV14" s="213">
        <v>1182047462</v>
      </c>
      <c r="AW14" s="213">
        <v>-109213545</v>
      </c>
      <c r="AX14" s="213">
        <v>30114579000</v>
      </c>
      <c r="AY14" s="213">
        <v>21629607000</v>
      </c>
      <c r="AZ14" s="213">
        <f>36735386796+18536797770+73989626</f>
        <v>55346174192</v>
      </c>
      <c r="BA14" s="213">
        <v>3772378252</v>
      </c>
      <c r="BB14" s="213">
        <v>6727755731</v>
      </c>
      <c r="BC14" s="213">
        <v>12159599719</v>
      </c>
      <c r="BD14" s="213">
        <v>9536147000</v>
      </c>
      <c r="BE14" s="213">
        <v>10761191000</v>
      </c>
      <c r="BF14" s="213">
        <v>57602360583</v>
      </c>
      <c r="BG14" s="213">
        <v>347795710</v>
      </c>
      <c r="BH14" s="213">
        <v>212855568</v>
      </c>
      <c r="BI14" s="213">
        <v>259423585</v>
      </c>
      <c r="BJ14" s="213">
        <v>5919564751</v>
      </c>
      <c r="BK14" s="213">
        <v>6619425805</v>
      </c>
      <c r="BL14" s="213">
        <v>101038691494</v>
      </c>
      <c r="BM14" s="213">
        <v>7992949213</v>
      </c>
      <c r="BN14" s="213">
        <v>10141297641</v>
      </c>
      <c r="BO14" s="213"/>
      <c r="BP14" s="213">
        <v>17060300837</v>
      </c>
      <c r="BQ14" s="213">
        <v>14073249502</v>
      </c>
      <c r="BR14" s="213">
        <v>164588800819</v>
      </c>
      <c r="BS14" s="213">
        <v>5322383427</v>
      </c>
      <c r="BT14" s="213">
        <v>8613098314</v>
      </c>
      <c r="BU14" s="213">
        <v>116250175805</v>
      </c>
      <c r="BV14" s="213">
        <v>1307433426</v>
      </c>
      <c r="BW14" s="213">
        <v>950927683</v>
      </c>
      <c r="BX14" s="213"/>
      <c r="BY14" s="213">
        <v>6634298024</v>
      </c>
      <c r="BZ14" s="213">
        <v>17179342557</v>
      </c>
      <c r="CA14" s="213">
        <v>144905223784</v>
      </c>
      <c r="CB14" s="213">
        <v>316667189000</v>
      </c>
      <c r="CC14" s="213">
        <v>249136899000</v>
      </c>
      <c r="CD14" s="213">
        <v>254617252000</v>
      </c>
      <c r="CE14" s="213"/>
      <c r="CF14" s="213"/>
      <c r="CG14" s="213">
        <v>6925295543</v>
      </c>
      <c r="CH14" s="209">
        <f t="shared" ref="CH14:CH15" si="7">+B14+E14+H14+K14+N14+Q14+T14+W14+Z14+AC14+AF14+AI14+AL14+AO14+AR14+AU14+AX14+BA14+BD14+BG14+BJ14+BM14+BP14+BS14+BV14+BY14+CB14</f>
        <v>2486451126294</v>
      </c>
      <c r="CI14" s="209">
        <f t="shared" ref="CI14:CJ15" si="8">+C14+F14+I14+L14+O14+R14+U14+X14+AA14+AD14+AG14+AJ14+AM14+AP14+AS14+AV14+AY14+BB14+BE14+BH14+BK14+BN14+BQ14+BT14+BW14+BZ14+CC14</f>
        <v>1996783871192</v>
      </c>
      <c r="CJ14" s="209">
        <f t="shared" si="8"/>
        <v>2711280942097</v>
      </c>
    </row>
    <row r="15" spans="1:88" x14ac:dyDescent="0.2">
      <c r="A15" s="226" t="s">
        <v>46</v>
      </c>
      <c r="B15" s="213"/>
      <c r="C15" s="213"/>
      <c r="D15" s="213"/>
      <c r="E15" s="213">
        <v>147700000</v>
      </c>
      <c r="F15" s="213">
        <v>147700000</v>
      </c>
      <c r="G15" s="213"/>
      <c r="H15" s="213"/>
      <c r="I15" s="213"/>
      <c r="J15" s="213"/>
      <c r="K15" s="213">
        <v>0</v>
      </c>
      <c r="L15" s="213">
        <v>0</v>
      </c>
      <c r="M15" s="213"/>
      <c r="N15" s="213">
        <v>0</v>
      </c>
      <c r="O15" s="213">
        <v>0</v>
      </c>
      <c r="P15" s="213"/>
      <c r="Q15" s="213"/>
      <c r="R15" s="213"/>
      <c r="S15" s="213"/>
      <c r="T15" s="213"/>
      <c r="U15" s="213"/>
      <c r="V15" s="213"/>
      <c r="W15" s="209"/>
      <c r="X15" s="221"/>
      <c r="Y15" s="221"/>
      <c r="Z15" s="213">
        <v>8460717000</v>
      </c>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v>166898000</v>
      </c>
      <c r="AY15" s="213">
        <v>16506000</v>
      </c>
      <c r="AZ15" s="213">
        <f>334147975+10862560376</f>
        <v>11196708351</v>
      </c>
      <c r="BA15" s="213"/>
      <c r="BB15" s="213"/>
      <c r="BC15" s="213"/>
      <c r="BD15" s="213">
        <v>22403386000</v>
      </c>
      <c r="BE15" s="213">
        <v>11380755000</v>
      </c>
      <c r="BF15" s="213">
        <v>7306788459</v>
      </c>
      <c r="BG15" s="213"/>
      <c r="BH15" s="213"/>
      <c r="BI15" s="213"/>
      <c r="BJ15" s="213"/>
      <c r="BK15" s="213"/>
      <c r="BL15" s="213"/>
      <c r="BM15" s="213"/>
      <c r="BN15" s="213"/>
      <c r="BO15" s="213"/>
      <c r="BP15" s="213"/>
      <c r="BQ15" s="213"/>
      <c r="BR15" s="213"/>
      <c r="BS15" s="213">
        <v>11537741099</v>
      </c>
      <c r="BT15" s="213">
        <v>7593443636</v>
      </c>
      <c r="BU15" s="213"/>
      <c r="BV15" s="213"/>
      <c r="BW15" s="213">
        <v>3339656215</v>
      </c>
      <c r="BX15" s="213"/>
      <c r="BY15" s="213">
        <v>1892498732</v>
      </c>
      <c r="BZ15" s="213">
        <v>2006536534</v>
      </c>
      <c r="CA15" s="213"/>
      <c r="CB15" s="213">
        <v>3837219000</v>
      </c>
      <c r="CC15" s="213">
        <v>3249386000</v>
      </c>
      <c r="CD15" s="213">
        <v>3249386000</v>
      </c>
      <c r="CE15" s="213"/>
      <c r="CF15" s="213"/>
      <c r="CG15" s="213"/>
      <c r="CH15" s="209">
        <f t="shared" si="7"/>
        <v>48446159831</v>
      </c>
      <c r="CI15" s="209">
        <f t="shared" si="8"/>
        <v>27733983385</v>
      </c>
      <c r="CJ15" s="209">
        <f t="shared" si="8"/>
        <v>21752882810</v>
      </c>
    </row>
    <row r="16" spans="1:88" s="224" customFormat="1" x14ac:dyDescent="0.2">
      <c r="A16" s="223" t="s">
        <v>47</v>
      </c>
      <c r="B16" s="210">
        <f t="shared" ref="B16:AW16" si="9">+B14+B15</f>
        <v>14323183000</v>
      </c>
      <c r="C16" s="210">
        <f t="shared" si="9"/>
        <v>36952980000</v>
      </c>
      <c r="D16" s="210">
        <f t="shared" si="9"/>
        <v>31205775000</v>
      </c>
      <c r="E16" s="210">
        <f t="shared" si="9"/>
        <v>1426686395000</v>
      </c>
      <c r="F16" s="210">
        <f t="shared" si="9"/>
        <v>1085254914000</v>
      </c>
      <c r="G16" s="210">
        <f t="shared" si="9"/>
        <v>1184428651000</v>
      </c>
      <c r="H16" s="210">
        <f t="shared" si="9"/>
        <v>202019000000</v>
      </c>
      <c r="I16" s="210">
        <f t="shared" si="9"/>
        <v>165649294000</v>
      </c>
      <c r="J16" s="210">
        <f t="shared" si="9"/>
        <v>143408498000</v>
      </c>
      <c r="K16" s="210">
        <f t="shared" si="9"/>
        <v>342491960</v>
      </c>
      <c r="L16" s="210">
        <f t="shared" si="9"/>
        <v>343539468</v>
      </c>
      <c r="M16" s="210"/>
      <c r="N16" s="210">
        <f t="shared" si="9"/>
        <v>2860383198</v>
      </c>
      <c r="O16" s="210">
        <f t="shared" si="9"/>
        <v>2493035374</v>
      </c>
      <c r="P16" s="210">
        <f t="shared" si="9"/>
        <v>7679911421</v>
      </c>
      <c r="Q16" s="210">
        <f t="shared" si="9"/>
        <v>4806760966</v>
      </c>
      <c r="R16" s="210">
        <f t="shared" si="9"/>
        <v>5544428124</v>
      </c>
      <c r="S16" s="210">
        <f t="shared" si="9"/>
        <v>8121849247</v>
      </c>
      <c r="T16" s="210">
        <f t="shared" si="9"/>
        <v>894455000</v>
      </c>
      <c r="U16" s="210">
        <f t="shared" si="9"/>
        <v>315614000</v>
      </c>
      <c r="V16" s="210">
        <f>+V14+V15</f>
        <v>1978425000</v>
      </c>
      <c r="W16" s="210">
        <f t="shared" si="9"/>
        <v>279156379000</v>
      </c>
      <c r="X16" s="225">
        <f t="shared" si="9"/>
        <v>199272222000</v>
      </c>
      <c r="Y16" s="225">
        <f t="shared" si="9"/>
        <v>255589410000</v>
      </c>
      <c r="Z16" s="210">
        <f t="shared" si="9"/>
        <v>37211375000</v>
      </c>
      <c r="AA16" s="210">
        <f t="shared" si="9"/>
        <v>29678484000</v>
      </c>
      <c r="AB16" s="210">
        <f t="shared" si="9"/>
        <v>35103700000</v>
      </c>
      <c r="AC16" s="210">
        <f t="shared" si="9"/>
        <v>63784854000</v>
      </c>
      <c r="AD16" s="210">
        <f t="shared" si="9"/>
        <v>14254332000</v>
      </c>
      <c r="AE16" s="210">
        <f t="shared" si="9"/>
        <v>23371041000</v>
      </c>
      <c r="AF16" s="210">
        <f t="shared" si="9"/>
        <v>2707748000</v>
      </c>
      <c r="AG16" s="210">
        <f t="shared" si="9"/>
        <v>2706379000</v>
      </c>
      <c r="AH16" s="210">
        <f t="shared" si="9"/>
        <v>2641127000</v>
      </c>
      <c r="AI16" s="210">
        <f t="shared" si="9"/>
        <v>37617705000</v>
      </c>
      <c r="AJ16" s="210">
        <f t="shared" si="9"/>
        <v>82343208000</v>
      </c>
      <c r="AK16" s="210">
        <f t="shared" si="9"/>
        <v>78342841000</v>
      </c>
      <c r="AL16" s="210">
        <f t="shared" si="9"/>
        <v>1679814000</v>
      </c>
      <c r="AM16" s="210">
        <f t="shared" si="9"/>
        <v>7906247000</v>
      </c>
      <c r="AN16" s="210">
        <f t="shared" si="9"/>
        <v>15261165000</v>
      </c>
      <c r="AO16" s="210">
        <f t="shared" si="9"/>
        <v>12217522351</v>
      </c>
      <c r="AP16" s="210">
        <f t="shared" si="9"/>
        <v>11262878339</v>
      </c>
      <c r="AQ16" s="210"/>
      <c r="AR16" s="210">
        <f t="shared" si="9"/>
        <v>3466971471</v>
      </c>
      <c r="AS16" s="210">
        <f t="shared" si="9"/>
        <v>5726318624</v>
      </c>
      <c r="AT16" s="210">
        <f t="shared" si="9"/>
        <v>17490059993</v>
      </c>
      <c r="AU16" s="210">
        <f t="shared" si="9"/>
        <v>609486708</v>
      </c>
      <c r="AV16" s="210">
        <f t="shared" si="9"/>
        <v>1182047462</v>
      </c>
      <c r="AW16" s="210">
        <f t="shared" si="9"/>
        <v>-109213545</v>
      </c>
      <c r="AX16" s="210">
        <f t="shared" ref="AX16:CI16" si="10">+AX14+AX15</f>
        <v>30281477000</v>
      </c>
      <c r="AY16" s="210">
        <f t="shared" si="10"/>
        <v>21646113000</v>
      </c>
      <c r="AZ16" s="210">
        <f t="shared" si="10"/>
        <v>66542882543</v>
      </c>
      <c r="BA16" s="210">
        <f t="shared" si="10"/>
        <v>3772378252</v>
      </c>
      <c r="BB16" s="210">
        <f t="shared" si="10"/>
        <v>6727755731</v>
      </c>
      <c r="BC16" s="210">
        <f t="shared" si="10"/>
        <v>12159599719</v>
      </c>
      <c r="BD16" s="210">
        <f t="shared" si="10"/>
        <v>31939533000</v>
      </c>
      <c r="BE16" s="210">
        <f t="shared" si="10"/>
        <v>22141946000</v>
      </c>
      <c r="BF16" s="210">
        <f t="shared" si="10"/>
        <v>64909149042</v>
      </c>
      <c r="BG16" s="210">
        <f t="shared" si="10"/>
        <v>347795710</v>
      </c>
      <c r="BH16" s="210">
        <f t="shared" si="10"/>
        <v>212855568</v>
      </c>
      <c r="BI16" s="210">
        <f t="shared" si="10"/>
        <v>259423585</v>
      </c>
      <c r="BJ16" s="210">
        <f t="shared" si="10"/>
        <v>5919564751</v>
      </c>
      <c r="BK16" s="210">
        <f t="shared" si="10"/>
        <v>6619425805</v>
      </c>
      <c r="BL16" s="210">
        <f>+BL14+BL15</f>
        <v>101038691494</v>
      </c>
      <c r="BM16" s="210">
        <f t="shared" si="10"/>
        <v>7992949213</v>
      </c>
      <c r="BN16" s="210">
        <f t="shared" si="10"/>
        <v>10141297641</v>
      </c>
      <c r="BO16" s="210"/>
      <c r="BP16" s="210">
        <f t="shared" si="10"/>
        <v>17060300837</v>
      </c>
      <c r="BQ16" s="210">
        <f t="shared" si="10"/>
        <v>14073249502</v>
      </c>
      <c r="BR16" s="210">
        <f>+BR14+BR15</f>
        <v>164588800819</v>
      </c>
      <c r="BS16" s="210">
        <f t="shared" si="10"/>
        <v>16860124526</v>
      </c>
      <c r="BT16" s="210">
        <f t="shared" si="10"/>
        <v>16206541950</v>
      </c>
      <c r="BU16" s="210">
        <f>+BU14+BU15</f>
        <v>116250175805</v>
      </c>
      <c r="BV16" s="210">
        <f t="shared" ref="BV16:CD16" si="11">+BV14+BV15</f>
        <v>1307433426</v>
      </c>
      <c r="BW16" s="210">
        <f t="shared" si="11"/>
        <v>4290583898</v>
      </c>
      <c r="BX16" s="210"/>
      <c r="BY16" s="210">
        <f t="shared" si="11"/>
        <v>8526796756</v>
      </c>
      <c r="BZ16" s="210">
        <f t="shared" si="11"/>
        <v>19185879091</v>
      </c>
      <c r="CA16" s="210">
        <f t="shared" si="11"/>
        <v>144905223784</v>
      </c>
      <c r="CB16" s="210">
        <f t="shared" si="11"/>
        <v>320504408000</v>
      </c>
      <c r="CC16" s="210">
        <f t="shared" si="11"/>
        <v>252386285000</v>
      </c>
      <c r="CD16" s="210">
        <f t="shared" si="11"/>
        <v>257866638000</v>
      </c>
      <c r="CE16" s="210">
        <f t="shared" ref="CE16:CG16" si="12">+CE14+CE15</f>
        <v>0</v>
      </c>
      <c r="CF16" s="210">
        <f t="shared" si="12"/>
        <v>0</v>
      </c>
      <c r="CG16" s="210">
        <f t="shared" si="12"/>
        <v>6925295543</v>
      </c>
      <c r="CH16" s="210">
        <f t="shared" si="10"/>
        <v>2534897286125</v>
      </c>
      <c r="CI16" s="210">
        <f t="shared" si="10"/>
        <v>2024517854577</v>
      </c>
      <c r="CJ16" s="210">
        <f t="shared" ref="CJ16" si="13">+CJ14+CJ15</f>
        <v>2733033824907</v>
      </c>
    </row>
    <row r="17" spans="1:88" x14ac:dyDescent="0.2">
      <c r="A17" s="218" t="s">
        <v>48</v>
      </c>
      <c r="B17" s="209"/>
      <c r="C17" s="209"/>
      <c r="D17" s="209"/>
      <c r="E17" s="209"/>
      <c r="F17" s="209"/>
      <c r="G17" s="209"/>
      <c r="H17" s="209"/>
      <c r="I17" s="209"/>
      <c r="J17" s="209"/>
      <c r="K17" s="209"/>
      <c r="L17" s="209"/>
      <c r="M17" s="209"/>
      <c r="N17" s="209"/>
      <c r="O17" s="209"/>
      <c r="P17" s="209"/>
      <c r="Q17" s="209"/>
      <c r="R17" s="209"/>
      <c r="S17" s="209"/>
      <c r="T17" s="209"/>
      <c r="U17" s="209"/>
      <c r="V17" s="209"/>
      <c r="W17" s="209"/>
      <c r="X17" s="221"/>
      <c r="Y17" s="221"/>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row>
    <row r="18" spans="1:88" x14ac:dyDescent="0.2">
      <c r="A18" s="214" t="s">
        <v>94</v>
      </c>
      <c r="B18" s="213">
        <v>2000000</v>
      </c>
      <c r="C18" s="213">
        <v>2000000</v>
      </c>
      <c r="D18" s="213">
        <v>2000000</v>
      </c>
      <c r="E18" s="213">
        <v>3917000</v>
      </c>
      <c r="F18" s="213">
        <v>3917000</v>
      </c>
      <c r="G18" s="213">
        <v>3917000</v>
      </c>
      <c r="H18" s="213">
        <v>2125000</v>
      </c>
      <c r="I18" s="213">
        <v>2125000</v>
      </c>
      <c r="J18" s="213">
        <v>2125000</v>
      </c>
      <c r="K18" s="213">
        <v>34096209</v>
      </c>
      <c r="L18" s="213">
        <v>34096209</v>
      </c>
      <c r="M18" s="213"/>
      <c r="N18" s="213">
        <v>34000000</v>
      </c>
      <c r="O18" s="213">
        <v>34000000</v>
      </c>
      <c r="P18" s="213">
        <v>34000000</v>
      </c>
      <c r="Q18" s="213">
        <v>5764636</v>
      </c>
      <c r="R18" s="213">
        <v>5764636</v>
      </c>
      <c r="S18" s="213">
        <v>5764636</v>
      </c>
      <c r="T18" s="213">
        <v>30000000</v>
      </c>
      <c r="U18" s="213">
        <v>30000000</v>
      </c>
      <c r="V18" s="213">
        <v>30000000</v>
      </c>
      <c r="W18" s="221">
        <v>5600000</v>
      </c>
      <c r="X18" s="221">
        <v>5600000</v>
      </c>
      <c r="Y18" s="221">
        <v>5600000</v>
      </c>
      <c r="Z18" s="213">
        <v>13606000</v>
      </c>
      <c r="AA18" s="213">
        <v>13606000</v>
      </c>
      <c r="AB18" s="213">
        <v>13606000</v>
      </c>
      <c r="AC18" s="213">
        <v>387846000</v>
      </c>
      <c r="AD18" s="213">
        <v>387846000</v>
      </c>
      <c r="AE18" s="213">
        <v>387846000</v>
      </c>
      <c r="AF18" s="213">
        <v>6704000</v>
      </c>
      <c r="AG18" s="213">
        <v>6704000</v>
      </c>
      <c r="AH18" s="213">
        <v>6704000</v>
      </c>
      <c r="AI18" s="213">
        <v>100000000</v>
      </c>
      <c r="AJ18" s="213">
        <v>100000000</v>
      </c>
      <c r="AK18" s="213">
        <v>100000000</v>
      </c>
      <c r="AL18" s="213">
        <v>100000000</v>
      </c>
      <c r="AM18" s="213">
        <v>100000000</v>
      </c>
      <c r="AN18" s="213">
        <v>100000000</v>
      </c>
      <c r="AO18" s="213">
        <v>1000000</v>
      </c>
      <c r="AP18" s="213">
        <v>1000000</v>
      </c>
      <c r="AQ18" s="213"/>
      <c r="AR18" s="213">
        <v>7692560</v>
      </c>
      <c r="AS18" s="213">
        <v>7692560</v>
      </c>
      <c r="AT18" s="213">
        <v>7692560</v>
      </c>
      <c r="AU18" s="213">
        <v>8018948</v>
      </c>
      <c r="AV18" s="213">
        <v>8018948</v>
      </c>
      <c r="AW18" s="213">
        <v>8018948</v>
      </c>
      <c r="AX18" s="213">
        <v>996279000</v>
      </c>
      <c r="AY18" s="213">
        <v>18966379000</v>
      </c>
      <c r="AZ18" s="213">
        <v>25283987588</v>
      </c>
      <c r="BA18" s="213">
        <v>34273149</v>
      </c>
      <c r="BB18" s="213">
        <v>34273149</v>
      </c>
      <c r="BC18" s="213">
        <v>27595978100</v>
      </c>
      <c r="BD18" s="213">
        <v>320000</v>
      </c>
      <c r="BE18" s="213">
        <v>320000</v>
      </c>
      <c r="BF18" s="213">
        <v>320000</v>
      </c>
      <c r="BG18" s="213">
        <v>17209450</v>
      </c>
      <c r="BH18" s="213">
        <v>17209450</v>
      </c>
      <c r="BI18" s="213">
        <v>17209450</v>
      </c>
      <c r="BJ18" s="213">
        <v>67340400</v>
      </c>
      <c r="BK18" s="213">
        <v>67340400</v>
      </c>
      <c r="BL18" s="213">
        <v>67340400</v>
      </c>
      <c r="BM18" s="213">
        <v>41262016398</v>
      </c>
      <c r="BN18" s="213">
        <v>73705016398</v>
      </c>
      <c r="BO18" s="213"/>
      <c r="BP18" s="213">
        <v>1740596</v>
      </c>
      <c r="BQ18" s="213">
        <v>1740596</v>
      </c>
      <c r="BR18" s="213">
        <v>1740596</v>
      </c>
      <c r="BS18" s="213">
        <v>10000</v>
      </c>
      <c r="BT18" s="213">
        <v>10000</v>
      </c>
      <c r="BU18" s="213">
        <v>10000</v>
      </c>
      <c r="BV18" s="213">
        <v>15000000</v>
      </c>
      <c r="BW18" s="213">
        <v>15000000</v>
      </c>
      <c r="BX18" s="213"/>
      <c r="BY18" s="213">
        <v>10000</v>
      </c>
      <c r="BZ18" s="213">
        <v>10000</v>
      </c>
      <c r="CA18" s="213">
        <v>10000</v>
      </c>
      <c r="CB18" s="213">
        <v>23765000</v>
      </c>
      <c r="CC18" s="213">
        <v>23765000</v>
      </c>
      <c r="CD18" s="213">
        <v>23765000</v>
      </c>
      <c r="CE18" s="213"/>
      <c r="CF18" s="213"/>
      <c r="CG18" s="213">
        <v>4244282760</v>
      </c>
      <c r="CH18" s="209">
        <f t="shared" ref="CH18:CH31" si="14">+B18+E18+H18+K18+N18+Q18+T18+W18+Z18+AC18+AF18+AI18+AL18+AO18+AR18+AU18+AX18+BA18+BD18+BG18+BJ18+BM18+BP18+BS18+BV18+BY18+CB18</f>
        <v>43160334346</v>
      </c>
      <c r="CI18" s="209">
        <f t="shared" ref="CI18:CJ31" si="15">+C18+F18+I18+L18+O18+R18+U18+X18+AA18+AD18+AG18+AJ18+AM18+AP18+AS18+AV18+AY18+BB18+BE18+BH18+BK18+BN18+BQ18+BT18+BW18+BZ18+CC18</f>
        <v>93573434346</v>
      </c>
      <c r="CJ18" s="209">
        <f t="shared" si="15"/>
        <v>53697635278</v>
      </c>
    </row>
    <row r="19" spans="1:88" x14ac:dyDescent="0.2">
      <c r="A19" s="214" t="s">
        <v>182</v>
      </c>
      <c r="B19" s="213"/>
      <c r="C19" s="213"/>
      <c r="D19" s="213"/>
      <c r="E19" s="213"/>
      <c r="F19" s="213"/>
      <c r="G19" s="213"/>
      <c r="H19" s="213"/>
      <c r="I19" s="213"/>
      <c r="J19" s="213"/>
      <c r="K19" s="213"/>
      <c r="L19" s="213"/>
      <c r="M19" s="213"/>
      <c r="N19" s="213">
        <v>7148070001</v>
      </c>
      <c r="O19" s="213">
        <v>9103070000</v>
      </c>
      <c r="P19" s="213">
        <v>10930920000</v>
      </c>
      <c r="Q19" s="213"/>
      <c r="R19" s="213"/>
      <c r="S19" s="213"/>
      <c r="T19" s="213"/>
      <c r="U19" s="213"/>
      <c r="V19" s="297"/>
      <c r="W19" s="221"/>
      <c r="X19" s="221"/>
      <c r="Y19" s="221"/>
      <c r="Z19" s="213">
        <v>2316149000</v>
      </c>
      <c r="AA19" s="213">
        <v>2316149000</v>
      </c>
      <c r="AB19" s="213">
        <v>11946852000</v>
      </c>
      <c r="AC19" s="213"/>
      <c r="AD19" s="213"/>
      <c r="AE19" s="213"/>
      <c r="AF19" s="213"/>
      <c r="AG19" s="213"/>
      <c r="AH19" s="213"/>
      <c r="AI19" s="213"/>
      <c r="AJ19" s="213"/>
      <c r="AK19" s="213"/>
      <c r="AL19" s="213"/>
      <c r="AM19" s="213"/>
      <c r="AN19" s="213"/>
      <c r="AO19" s="213"/>
      <c r="AP19" s="213"/>
      <c r="AQ19" s="213"/>
      <c r="AR19" s="213">
        <v>25462853355</v>
      </c>
      <c r="AS19" s="213">
        <v>61559871222</v>
      </c>
      <c r="AT19" s="213">
        <v>94934428431</v>
      </c>
      <c r="AU19" s="213">
        <v>2924318608</v>
      </c>
      <c r="AV19" s="213">
        <v>16748891529</v>
      </c>
      <c r="AW19" s="213">
        <v>19425371548</v>
      </c>
      <c r="AX19" s="213"/>
      <c r="AY19" s="213"/>
      <c r="AZ19" s="213"/>
      <c r="BA19" s="213">
        <v>9780113365</v>
      </c>
      <c r="BB19" s="213">
        <v>26179838536</v>
      </c>
      <c r="BC19" s="213"/>
      <c r="BD19" s="213"/>
      <c r="BE19" s="213"/>
      <c r="BF19" s="213"/>
      <c r="BG19" s="213"/>
      <c r="BH19" s="213"/>
      <c r="BI19" s="213"/>
      <c r="BJ19" s="213">
        <v>5527949600</v>
      </c>
      <c r="BK19" s="213">
        <v>5527949600</v>
      </c>
      <c r="BL19" s="213">
        <v>5527949600</v>
      </c>
      <c r="BM19" s="213"/>
      <c r="BN19" s="213"/>
      <c r="BO19" s="213"/>
      <c r="BP19" s="213"/>
      <c r="BQ19" s="213"/>
      <c r="BR19" s="213"/>
      <c r="BS19" s="213"/>
      <c r="BT19" s="213"/>
      <c r="BU19" s="213"/>
      <c r="BV19" s="213">
        <v>79472649</v>
      </c>
      <c r="BW19" s="213">
        <v>1380516521</v>
      </c>
      <c r="BX19" s="213"/>
      <c r="BY19" s="213">
        <v>109990000</v>
      </c>
      <c r="BZ19" s="213">
        <v>109990000</v>
      </c>
      <c r="CA19" s="213">
        <v>109990000</v>
      </c>
      <c r="CB19" s="213">
        <v>47235000</v>
      </c>
      <c r="CC19" s="213">
        <v>47235000</v>
      </c>
      <c r="CD19" s="213">
        <v>47235000</v>
      </c>
      <c r="CE19" s="213"/>
      <c r="CF19" s="213"/>
      <c r="CG19" s="213"/>
      <c r="CH19" s="209">
        <f t="shared" si="14"/>
        <v>53396151578</v>
      </c>
      <c r="CI19" s="209">
        <f t="shared" si="15"/>
        <v>122973511408</v>
      </c>
      <c r="CJ19" s="209">
        <f t="shared" si="15"/>
        <v>142922746579</v>
      </c>
    </row>
    <row r="20" spans="1:88" x14ac:dyDescent="0.2">
      <c r="A20" s="214" t="s">
        <v>181</v>
      </c>
      <c r="B20" s="213"/>
      <c r="C20" s="213"/>
      <c r="D20" s="213"/>
      <c r="E20" s="213"/>
      <c r="F20" s="213"/>
      <c r="G20" s="213"/>
      <c r="H20" s="213"/>
      <c r="I20" s="213"/>
      <c r="J20" s="213"/>
      <c r="K20" s="213"/>
      <c r="L20" s="213"/>
      <c r="M20" s="213"/>
      <c r="N20" s="213"/>
      <c r="O20" s="213"/>
      <c r="P20" s="213"/>
      <c r="Q20" s="213"/>
      <c r="R20" s="213"/>
      <c r="S20" s="213"/>
      <c r="T20" s="213">
        <v>3884130000</v>
      </c>
      <c r="U20" s="213">
        <v>7458503000</v>
      </c>
      <c r="V20" s="297">
        <v>9385863000</v>
      </c>
      <c r="W20" s="221"/>
      <c r="X20" s="221"/>
      <c r="Y20" s="221"/>
      <c r="Z20" s="213">
        <v>1873000</v>
      </c>
      <c r="AA20" s="213">
        <v>1873000</v>
      </c>
      <c r="AB20" s="213">
        <v>1873000</v>
      </c>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3"/>
      <c r="BW20" s="213"/>
      <c r="BX20" s="213"/>
      <c r="BY20" s="213"/>
      <c r="BZ20" s="213"/>
      <c r="CA20" s="213"/>
      <c r="CB20" s="213"/>
      <c r="CC20" s="213"/>
      <c r="CD20" s="213"/>
      <c r="CE20" s="213"/>
      <c r="CF20" s="213"/>
      <c r="CG20" s="213"/>
      <c r="CH20" s="209">
        <f t="shared" si="14"/>
        <v>3886003000</v>
      </c>
      <c r="CI20" s="209">
        <f t="shared" si="15"/>
        <v>7460376000</v>
      </c>
      <c r="CJ20" s="209">
        <f t="shared" si="15"/>
        <v>9387736000</v>
      </c>
    </row>
    <row r="21" spans="1:88" s="216" customFormat="1" x14ac:dyDescent="0.2">
      <c r="A21" s="214" t="s">
        <v>50</v>
      </c>
      <c r="B21" s="213"/>
      <c r="C21" s="213">
        <v>813000</v>
      </c>
      <c r="D21" s="213">
        <v>812000</v>
      </c>
      <c r="E21" s="213">
        <v>1959000</v>
      </c>
      <c r="F21" s="213">
        <v>1959000</v>
      </c>
      <c r="G21" s="213">
        <v>1959000</v>
      </c>
      <c r="H21" s="213">
        <v>1063000</v>
      </c>
      <c r="I21" s="213">
        <v>1063000</v>
      </c>
      <c r="J21" s="213"/>
      <c r="K21" s="213"/>
      <c r="L21" s="213"/>
      <c r="M21" s="213"/>
      <c r="N21" s="213"/>
      <c r="O21" s="213"/>
      <c r="P21" s="213"/>
      <c r="Q21" s="213"/>
      <c r="R21" s="213"/>
      <c r="S21" s="213"/>
      <c r="T21" s="213"/>
      <c r="U21" s="213"/>
      <c r="V21" s="297"/>
      <c r="W21" s="221">
        <v>2800000</v>
      </c>
      <c r="X21" s="221">
        <v>2800000</v>
      </c>
      <c r="Y21" s="221">
        <v>2800000</v>
      </c>
      <c r="Z21" s="213">
        <v>6803000</v>
      </c>
      <c r="AA21" s="213">
        <v>6803000</v>
      </c>
      <c r="AB21" s="213">
        <v>6803000</v>
      </c>
      <c r="AC21" s="213">
        <v>193923000</v>
      </c>
      <c r="AD21" s="213">
        <v>193923000</v>
      </c>
      <c r="AE21" s="213">
        <v>193923000</v>
      </c>
      <c r="AF21" s="213">
        <v>3352000</v>
      </c>
      <c r="AG21" s="213">
        <v>3352000</v>
      </c>
      <c r="AH21" s="213">
        <v>3352000</v>
      </c>
      <c r="AI21" s="213">
        <v>50000000</v>
      </c>
      <c r="AJ21" s="213">
        <v>50000000</v>
      </c>
      <c r="AK21" s="213">
        <v>50000000</v>
      </c>
      <c r="AL21" s="213"/>
      <c r="AM21" s="213"/>
      <c r="AN21" s="213"/>
      <c r="AO21" s="213">
        <v>100000</v>
      </c>
      <c r="AP21" s="213">
        <v>100000</v>
      </c>
      <c r="AQ21" s="213"/>
      <c r="AR21" s="213"/>
      <c r="AS21" s="213"/>
      <c r="AT21" s="213"/>
      <c r="AU21" s="213"/>
      <c r="AV21" s="213"/>
      <c r="AW21" s="213"/>
      <c r="AX21" s="213"/>
      <c r="AY21" s="213"/>
      <c r="AZ21" s="213"/>
      <c r="BA21" s="213"/>
      <c r="BB21" s="213"/>
      <c r="BC21" s="213"/>
      <c r="BD21" s="213">
        <v>160000</v>
      </c>
      <c r="BE21" s="213">
        <v>160000</v>
      </c>
      <c r="BF21" s="213">
        <v>160000</v>
      </c>
      <c r="BG21" s="213"/>
      <c r="BH21" s="213"/>
      <c r="BI21" s="213"/>
      <c r="BJ21" s="213"/>
      <c r="BK21" s="213"/>
      <c r="BL21" s="213"/>
      <c r="BM21" s="213"/>
      <c r="BN21" s="213"/>
      <c r="BO21" s="213"/>
      <c r="BP21" s="213"/>
      <c r="BQ21" s="213"/>
      <c r="BR21" s="213"/>
      <c r="BS21" s="213">
        <v>5000</v>
      </c>
      <c r="BT21" s="213">
        <v>5000</v>
      </c>
      <c r="BU21" s="213">
        <v>5000</v>
      </c>
      <c r="BV21" s="213"/>
      <c r="BW21" s="213"/>
      <c r="BX21" s="213"/>
      <c r="BY21" s="213"/>
      <c r="BZ21" s="213"/>
      <c r="CA21" s="213"/>
      <c r="CB21" s="213">
        <v>35500000</v>
      </c>
      <c r="CC21" s="213">
        <v>35500000</v>
      </c>
      <c r="CD21" s="213">
        <v>35500000</v>
      </c>
      <c r="CE21" s="213"/>
      <c r="CF21" s="213"/>
      <c r="CG21" s="213"/>
      <c r="CH21" s="209">
        <f t="shared" si="14"/>
        <v>295665000</v>
      </c>
      <c r="CI21" s="209">
        <f t="shared" si="15"/>
        <v>296478000</v>
      </c>
      <c r="CJ21" s="209">
        <f t="shared" si="15"/>
        <v>295314000</v>
      </c>
    </row>
    <row r="22" spans="1:88" s="216" customFormat="1" x14ac:dyDescent="0.2">
      <c r="A22" s="214" t="s">
        <v>95</v>
      </c>
      <c r="B22" s="213"/>
      <c r="C22" s="213"/>
      <c r="D22" s="213"/>
      <c r="E22" s="213"/>
      <c r="F22" s="213"/>
      <c r="G22" s="213"/>
      <c r="H22" s="213"/>
      <c r="I22" s="213"/>
      <c r="J22" s="213"/>
      <c r="K22" s="213"/>
      <c r="L22" s="213"/>
      <c r="M22" s="213"/>
      <c r="N22" s="213"/>
      <c r="O22" s="213"/>
      <c r="P22" s="213"/>
      <c r="Q22" s="213"/>
      <c r="R22" s="213"/>
      <c r="S22" s="213"/>
      <c r="T22" s="213"/>
      <c r="U22" s="213"/>
      <c r="V22" s="213"/>
      <c r="W22" s="209"/>
      <c r="X22" s="221"/>
      <c r="Y22" s="221"/>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09">
        <f t="shared" si="14"/>
        <v>0</v>
      </c>
      <c r="CI22" s="209">
        <f t="shared" si="15"/>
        <v>0</v>
      </c>
      <c r="CJ22" s="209">
        <f t="shared" si="15"/>
        <v>0</v>
      </c>
    </row>
    <row r="23" spans="1:88" x14ac:dyDescent="0.2">
      <c r="A23" s="214" t="s">
        <v>51</v>
      </c>
      <c r="B23" s="209">
        <v>362309000</v>
      </c>
      <c r="C23" s="209">
        <v>-1441801000</v>
      </c>
      <c r="D23" s="209">
        <v>-618665000</v>
      </c>
      <c r="E23" s="209">
        <v>584127887000</v>
      </c>
      <c r="F23" s="209">
        <v>332410312000</v>
      </c>
      <c r="G23" s="209">
        <v>82684844000</v>
      </c>
      <c r="H23" s="209">
        <v>2763146000</v>
      </c>
      <c r="I23" s="209">
        <v>-14759538000</v>
      </c>
      <c r="J23" s="209">
        <v>-20648965000</v>
      </c>
      <c r="K23" s="209"/>
      <c r="L23" s="209"/>
      <c r="M23" s="209"/>
      <c r="N23" s="209"/>
      <c r="O23" s="209"/>
      <c r="P23" s="209"/>
      <c r="Q23" s="209"/>
      <c r="R23" s="209"/>
      <c r="S23" s="209"/>
      <c r="T23" s="209"/>
      <c r="U23" s="209"/>
      <c r="V23" s="209"/>
      <c r="W23" s="209">
        <v>18113937000</v>
      </c>
      <c r="X23" s="221">
        <v>-5636282000</v>
      </c>
      <c r="Y23" s="221">
        <v>3000954000</v>
      </c>
      <c r="Z23" s="209">
        <v>-7019257000</v>
      </c>
      <c r="AA23" s="209">
        <v>-827979000</v>
      </c>
      <c r="AB23" s="209">
        <v>-1780072000</v>
      </c>
      <c r="AC23" s="209">
        <v>44166729000</v>
      </c>
      <c r="AD23" s="209">
        <v>27101214000</v>
      </c>
      <c r="AE23" s="209">
        <v>32150849000</v>
      </c>
      <c r="AF23" s="209"/>
      <c r="AG23" s="209"/>
      <c r="AH23" s="209"/>
      <c r="AI23" s="209">
        <v>22886040000</v>
      </c>
      <c r="AJ23" s="209">
        <v>11599731000</v>
      </c>
      <c r="AK23" s="209">
        <v>10276475000</v>
      </c>
      <c r="AL23" s="213">
        <v>-194594000</v>
      </c>
      <c r="AM23" s="213">
        <v>283386000</v>
      </c>
      <c r="AN23" s="213">
        <v>119825000</v>
      </c>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f t="shared" si="14"/>
        <v>665206197000</v>
      </c>
      <c r="CI23" s="209">
        <f t="shared" si="15"/>
        <v>348729043000</v>
      </c>
      <c r="CJ23" s="209">
        <f t="shared" si="15"/>
        <v>105185245000</v>
      </c>
    </row>
    <row r="24" spans="1:88" s="216" customFormat="1" x14ac:dyDescent="0.2">
      <c r="A24" s="214" t="s">
        <v>52</v>
      </c>
      <c r="B24" s="209"/>
      <c r="C24" s="209"/>
      <c r="D24" s="209"/>
      <c r="E24" s="209"/>
      <c r="F24" s="209"/>
      <c r="G24" s="209"/>
      <c r="H24" s="209"/>
      <c r="I24" s="209"/>
      <c r="J24" s="209"/>
      <c r="K24" s="209"/>
      <c r="L24" s="209"/>
      <c r="M24" s="209"/>
      <c r="N24" s="209"/>
      <c r="O24" s="209"/>
      <c r="P24" s="209"/>
      <c r="Q24" s="209"/>
      <c r="R24" s="209"/>
      <c r="S24" s="209"/>
      <c r="T24" s="209"/>
      <c r="U24" s="209"/>
      <c r="V24" s="301"/>
      <c r="W24" s="209"/>
      <c r="X24" s="221"/>
      <c r="Y24" s="221"/>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f t="shared" si="14"/>
        <v>0</v>
      </c>
      <c r="CI24" s="209">
        <f t="shared" si="15"/>
        <v>0</v>
      </c>
      <c r="CJ24" s="209">
        <f t="shared" si="15"/>
        <v>0</v>
      </c>
    </row>
    <row r="25" spans="1:88" s="216" customFormat="1" x14ac:dyDescent="0.2">
      <c r="A25" s="214" t="s">
        <v>53</v>
      </c>
      <c r="B25" s="211"/>
      <c r="C25" s="211"/>
      <c r="D25" s="211"/>
      <c r="E25" s="211"/>
      <c r="F25" s="211"/>
      <c r="G25" s="211"/>
      <c r="H25" s="211"/>
      <c r="I25" s="211"/>
      <c r="J25" s="211"/>
      <c r="K25" s="211"/>
      <c r="L25" s="211"/>
      <c r="M25" s="211"/>
      <c r="N25" s="211"/>
      <c r="O25" s="211"/>
      <c r="P25" s="211"/>
      <c r="Q25" s="211"/>
      <c r="R25" s="211"/>
      <c r="S25" s="211"/>
      <c r="T25" s="211"/>
      <c r="U25" s="217"/>
      <c r="V25" s="211"/>
      <c r="W25" s="299"/>
      <c r="X25" s="217"/>
      <c r="Y25" s="217"/>
      <c r="Z25" s="211"/>
      <c r="AA25" s="211"/>
      <c r="AB25" s="211"/>
      <c r="AC25" s="211"/>
      <c r="AD25" s="211"/>
      <c r="AE25" s="211"/>
      <c r="AF25" s="211"/>
      <c r="AG25" s="211"/>
      <c r="AH25" s="211"/>
      <c r="AI25" s="211"/>
      <c r="AJ25" s="211"/>
      <c r="AK25" s="211"/>
      <c r="AL25" s="211"/>
      <c r="AM25" s="211"/>
      <c r="AN25" s="211"/>
      <c r="AO25" s="209">
        <v>142362699</v>
      </c>
      <c r="AP25" s="209">
        <v>142362699</v>
      </c>
      <c r="AQ25" s="209"/>
      <c r="AR25" s="211"/>
      <c r="AS25" s="211"/>
      <c r="AT25" s="211"/>
      <c r="AU25" s="211"/>
      <c r="AV25" s="211"/>
      <c r="AW25" s="211"/>
      <c r="AX25" s="211"/>
      <c r="AY25" s="211"/>
      <c r="AZ25" s="211"/>
      <c r="BA25" s="211"/>
      <c r="BB25" s="211"/>
      <c r="BC25" s="211"/>
      <c r="BD25" s="213">
        <v>450496000</v>
      </c>
      <c r="BE25" s="213">
        <v>450496000</v>
      </c>
      <c r="BF25" s="213">
        <v>450496000</v>
      </c>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09">
        <f t="shared" si="14"/>
        <v>592858699</v>
      </c>
      <c r="CI25" s="209">
        <f t="shared" si="15"/>
        <v>592858699</v>
      </c>
      <c r="CJ25" s="209">
        <f t="shared" si="15"/>
        <v>450496000</v>
      </c>
    </row>
    <row r="26" spans="1:88" x14ac:dyDescent="0.2">
      <c r="A26" s="214" t="s">
        <v>54</v>
      </c>
      <c r="B26" s="209"/>
      <c r="C26" s="213"/>
      <c r="D26" s="213">
        <v>640920000</v>
      </c>
      <c r="E26" s="209"/>
      <c r="F26" s="213"/>
      <c r="G26" s="213">
        <v>63082297000</v>
      </c>
      <c r="H26" s="209"/>
      <c r="I26" s="213"/>
      <c r="J26" s="213">
        <v>3467773000</v>
      </c>
      <c r="K26" s="213"/>
      <c r="L26" s="213"/>
      <c r="M26" s="213"/>
      <c r="N26" s="213"/>
      <c r="O26" s="213"/>
      <c r="P26" s="213"/>
      <c r="Q26" s="213"/>
      <c r="R26" s="213"/>
      <c r="S26" s="213"/>
      <c r="T26" s="213">
        <v>-1103904000</v>
      </c>
      <c r="U26" s="297">
        <v>-3029019000</v>
      </c>
      <c r="V26" s="213">
        <v>-2574813000</v>
      </c>
      <c r="W26" s="214">
        <v>33224660000</v>
      </c>
      <c r="X26" s="221">
        <v>-10390559000</v>
      </c>
      <c r="Y26" s="221">
        <v>31015569000</v>
      </c>
      <c r="Z26" s="213">
        <v>-927494000</v>
      </c>
      <c r="AA26" s="213">
        <v>-1362312000</v>
      </c>
      <c r="AB26" s="213">
        <v>7193213000</v>
      </c>
      <c r="AC26" s="213">
        <v>-38421206000</v>
      </c>
      <c r="AD26" s="213">
        <v>-12293553000</v>
      </c>
      <c r="AE26" s="213">
        <v>-8821906000</v>
      </c>
      <c r="AF26" s="213">
        <v>-214152000</v>
      </c>
      <c r="AG26" s="213">
        <v>2857000</v>
      </c>
      <c r="AH26" s="213">
        <v>-21239000</v>
      </c>
      <c r="AI26" s="213">
        <v>6087890000</v>
      </c>
      <c r="AJ26" s="213">
        <v>34618722000</v>
      </c>
      <c r="AK26" s="213">
        <v>25667998000</v>
      </c>
      <c r="AL26" s="213">
        <v>26761000</v>
      </c>
      <c r="AM26" s="213">
        <v>-3611830000</v>
      </c>
      <c r="AN26" s="213">
        <v>1815287000</v>
      </c>
      <c r="AO26" s="213">
        <v>7333116969</v>
      </c>
      <c r="AP26" s="213">
        <v>8056194393</v>
      </c>
      <c r="AQ26" s="213"/>
      <c r="AR26" s="213">
        <v>21253067978</v>
      </c>
      <c r="AS26" s="213">
        <v>19499986209</v>
      </c>
      <c r="AT26" s="213"/>
      <c r="AU26" s="213">
        <f>+AU50</f>
        <v>647540858</v>
      </c>
      <c r="AV26" s="213">
        <f>+AV50</f>
        <v>2676480019</v>
      </c>
      <c r="AW26" s="213"/>
      <c r="AX26" s="213">
        <v>56740740000</v>
      </c>
      <c r="AY26" s="213">
        <v>68038391000</v>
      </c>
      <c r="AZ26" s="213">
        <v>32594980698</v>
      </c>
      <c r="BA26" s="213">
        <v>-481570565</v>
      </c>
      <c r="BB26" s="213">
        <v>-4031964376</v>
      </c>
      <c r="BC26" s="213"/>
      <c r="BD26" s="213">
        <v>312946000</v>
      </c>
      <c r="BE26" s="213">
        <v>6932383000</v>
      </c>
      <c r="BF26" s="213">
        <f>3695375215-240</f>
        <v>3695374975</v>
      </c>
      <c r="BG26" s="213">
        <v>-1173093</v>
      </c>
      <c r="BH26" s="213">
        <v>54613852</v>
      </c>
      <c r="BI26" s="213">
        <v>27000459</v>
      </c>
      <c r="BJ26" s="213"/>
      <c r="BK26" s="213"/>
      <c r="BL26" s="213"/>
      <c r="BM26" s="213"/>
      <c r="BN26" s="213"/>
      <c r="BO26" s="213"/>
      <c r="BP26" s="213"/>
      <c r="BQ26" s="213"/>
      <c r="BR26" s="213"/>
      <c r="BS26" s="213"/>
      <c r="BT26" s="213"/>
      <c r="BU26" s="213"/>
      <c r="BV26" s="209">
        <v>-408274253</v>
      </c>
      <c r="BW26" s="213">
        <v>-1889807193</v>
      </c>
      <c r="BX26" s="213"/>
      <c r="BY26" s="213"/>
      <c r="BZ26" s="213"/>
      <c r="CA26" s="213"/>
      <c r="CB26" s="213">
        <v>62070160000</v>
      </c>
      <c r="CC26" s="213">
        <v>204355218000</v>
      </c>
      <c r="CD26" s="213">
        <v>138116873000</v>
      </c>
      <c r="CE26" s="213"/>
      <c r="CF26" s="213"/>
      <c r="CG26" s="213"/>
      <c r="CH26" s="209">
        <f t="shared" si="14"/>
        <v>146139108894</v>
      </c>
      <c r="CI26" s="209">
        <f t="shared" si="15"/>
        <v>307625800904</v>
      </c>
      <c r="CJ26" s="209">
        <f t="shared" si="15"/>
        <v>295899328132</v>
      </c>
    </row>
    <row r="27" spans="1:88" x14ac:dyDescent="0.2">
      <c r="A27" s="214" t="s">
        <v>55</v>
      </c>
      <c r="B27" s="213">
        <v>4390847000</v>
      </c>
      <c r="C27" s="213">
        <v>10262334000</v>
      </c>
      <c r="D27" s="213">
        <v>10262334000</v>
      </c>
      <c r="E27" s="213">
        <v>608184993000</v>
      </c>
      <c r="F27" s="213">
        <v>601987703000</v>
      </c>
      <c r="G27" s="213">
        <v>934398015000</v>
      </c>
      <c r="H27" s="213">
        <v>101907708000</v>
      </c>
      <c r="I27" s="213">
        <v>129898885000</v>
      </c>
      <c r="J27" s="213">
        <v>129898885000</v>
      </c>
      <c r="K27" s="213"/>
      <c r="L27" s="213"/>
      <c r="M27" s="213"/>
      <c r="N27" s="213"/>
      <c r="O27" s="213"/>
      <c r="P27" s="213"/>
      <c r="Q27" s="213"/>
      <c r="R27" s="213"/>
      <c r="S27" s="213"/>
      <c r="T27" s="213">
        <v>-1776965000</v>
      </c>
      <c r="U27" s="297">
        <v>-2880869000</v>
      </c>
      <c r="V27" s="213">
        <f>+U27+U26</f>
        <v>-5909888000</v>
      </c>
      <c r="W27" s="300">
        <v>64721048000</v>
      </c>
      <c r="X27" s="221">
        <v>97945707000</v>
      </c>
      <c r="Y27" s="221">
        <v>87555148000</v>
      </c>
      <c r="Z27" s="213">
        <v>-25126190000</v>
      </c>
      <c r="AA27" s="213">
        <v>-26053684000</v>
      </c>
      <c r="AB27" s="213">
        <v>-27415996000</v>
      </c>
      <c r="AC27" s="213">
        <v>80015801000</v>
      </c>
      <c r="AD27" s="213">
        <v>41594595000</v>
      </c>
      <c r="AE27" s="213">
        <f>+AD27+AD26</f>
        <v>29301042000</v>
      </c>
      <c r="AF27" s="213">
        <v>-2152728000</v>
      </c>
      <c r="AG27" s="213">
        <v>-2366880000</v>
      </c>
      <c r="AH27" s="213">
        <f>+AG26+AG27</f>
        <v>-2364023000</v>
      </c>
      <c r="AI27" s="213">
        <v>6186453000</v>
      </c>
      <c r="AJ27" s="213">
        <v>12274343000</v>
      </c>
      <c r="AK27" s="213">
        <v>46893065000</v>
      </c>
      <c r="AL27" s="213">
        <v>-706203000</v>
      </c>
      <c r="AM27" s="213">
        <v>-679442000</v>
      </c>
      <c r="AN27" s="213">
        <v>-4291272000</v>
      </c>
      <c r="AO27" s="213"/>
      <c r="AP27" s="213"/>
      <c r="AQ27" s="213"/>
      <c r="AR27" s="213"/>
      <c r="AS27" s="213"/>
      <c r="AT27" s="213"/>
      <c r="AU27" s="213"/>
      <c r="AV27" s="213"/>
      <c r="AW27" s="213"/>
      <c r="AX27" s="213"/>
      <c r="AY27" s="213"/>
      <c r="AZ27" s="213"/>
      <c r="BA27" s="213"/>
      <c r="BB27" s="213"/>
      <c r="BC27" s="213"/>
      <c r="BD27" s="213">
        <v>-2585217000</v>
      </c>
      <c r="BE27" s="213">
        <v>-2272271000</v>
      </c>
      <c r="BF27" s="213">
        <f>+BE27+BE26</f>
        <v>4660112000</v>
      </c>
      <c r="BG27" s="213">
        <v>-69644894</v>
      </c>
      <c r="BH27" s="213">
        <v>-70817987</v>
      </c>
      <c r="BI27" s="213">
        <f>+BH27+BH26</f>
        <v>-16204135</v>
      </c>
      <c r="BJ27" s="213"/>
      <c r="BK27" s="213"/>
      <c r="BL27" s="213"/>
      <c r="BM27" s="213"/>
      <c r="BN27" s="213"/>
      <c r="BO27" s="213"/>
      <c r="BP27" s="213"/>
      <c r="BQ27" s="213"/>
      <c r="BR27" s="213"/>
      <c r="BS27" s="213"/>
      <c r="BT27" s="213"/>
      <c r="BU27" s="213"/>
      <c r="BV27" s="213">
        <v>-642245418</v>
      </c>
      <c r="BW27" s="213">
        <v>-1050519670</v>
      </c>
      <c r="BX27" s="213"/>
      <c r="BY27" s="213"/>
      <c r="BZ27" s="213"/>
      <c r="CA27" s="213">
        <v>-318017</v>
      </c>
      <c r="CB27" s="213">
        <v>89305361000</v>
      </c>
      <c r="CC27" s="213">
        <v>11916465000</v>
      </c>
      <c r="CD27" s="213">
        <v>216271683000</v>
      </c>
      <c r="CE27" s="213"/>
      <c r="CF27" s="213"/>
      <c r="CG27" s="213"/>
      <c r="CH27" s="209">
        <f t="shared" si="14"/>
        <v>921653017688</v>
      </c>
      <c r="CI27" s="209">
        <f t="shared" si="15"/>
        <v>870505548343</v>
      </c>
      <c r="CJ27" s="209">
        <f t="shared" si="15"/>
        <v>1419242582848</v>
      </c>
    </row>
    <row r="28" spans="1:88" x14ac:dyDescent="0.2">
      <c r="A28" s="214" t="s">
        <v>56</v>
      </c>
      <c r="B28" s="213"/>
      <c r="C28" s="213"/>
      <c r="D28" s="213"/>
      <c r="E28" s="213"/>
      <c r="F28" s="213"/>
      <c r="G28" s="213"/>
      <c r="H28" s="213"/>
      <c r="I28" s="213"/>
      <c r="J28" s="213"/>
      <c r="K28" s="213"/>
      <c r="L28" s="213"/>
      <c r="M28" s="213"/>
      <c r="N28" s="213"/>
      <c r="O28" s="213"/>
      <c r="P28" s="213"/>
      <c r="Q28" s="213"/>
      <c r="R28" s="213"/>
      <c r="S28" s="213"/>
      <c r="T28" s="213"/>
      <c r="U28" s="297"/>
      <c r="V28" s="213"/>
      <c r="W28" s="300"/>
      <c r="X28" s="221"/>
      <c r="Y28" s="221"/>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c r="BT28" s="213"/>
      <c r="BU28" s="213"/>
      <c r="BV28" s="213"/>
      <c r="BW28" s="213"/>
      <c r="BX28" s="213"/>
      <c r="BY28" s="213"/>
      <c r="BZ28" s="213"/>
      <c r="CA28" s="213"/>
      <c r="CB28" s="213"/>
      <c r="CC28" s="213"/>
      <c r="CD28" s="213"/>
      <c r="CE28" s="213"/>
      <c r="CF28" s="213"/>
      <c r="CG28" s="213"/>
      <c r="CH28" s="209">
        <f t="shared" si="14"/>
        <v>0</v>
      </c>
      <c r="CI28" s="209">
        <f t="shared" si="15"/>
        <v>0</v>
      </c>
      <c r="CJ28" s="209">
        <f t="shared" si="15"/>
        <v>0</v>
      </c>
    </row>
    <row r="29" spans="1:88" x14ac:dyDescent="0.2">
      <c r="A29" s="214" t="s">
        <v>57</v>
      </c>
      <c r="B29" s="209"/>
      <c r="C29" s="209"/>
      <c r="D29" s="209"/>
      <c r="E29" s="209"/>
      <c r="F29" s="209"/>
      <c r="G29" s="209"/>
      <c r="H29" s="209"/>
      <c r="I29" s="209"/>
      <c r="J29" s="209"/>
      <c r="K29" s="209"/>
      <c r="L29" s="209"/>
      <c r="M29" s="209"/>
      <c r="N29" s="209"/>
      <c r="O29" s="209"/>
      <c r="P29" s="209"/>
      <c r="Q29" s="209"/>
      <c r="R29" s="209"/>
      <c r="S29" s="209"/>
      <c r="T29" s="209"/>
      <c r="U29" s="209"/>
      <c r="V29" s="209"/>
      <c r="W29" s="209"/>
      <c r="X29" s="221"/>
      <c r="Y29" s="221"/>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f t="shared" si="14"/>
        <v>0</v>
      </c>
      <c r="CI29" s="209">
        <f t="shared" si="15"/>
        <v>0</v>
      </c>
      <c r="CJ29" s="209">
        <f t="shared" si="15"/>
        <v>0</v>
      </c>
    </row>
    <row r="30" spans="1:88" x14ac:dyDescent="0.2">
      <c r="A30" s="214" t="s">
        <v>96</v>
      </c>
      <c r="B30" s="213"/>
      <c r="C30" s="213"/>
      <c r="D30" s="213"/>
      <c r="E30" s="213"/>
      <c r="F30" s="213"/>
      <c r="G30" s="213"/>
      <c r="H30" s="213"/>
      <c r="I30" s="213"/>
      <c r="J30" s="213"/>
      <c r="K30" s="213"/>
      <c r="L30" s="213"/>
      <c r="M30" s="213"/>
      <c r="N30" s="213"/>
      <c r="O30" s="213"/>
      <c r="P30" s="213"/>
      <c r="Q30" s="213"/>
      <c r="R30" s="213"/>
      <c r="S30" s="213"/>
      <c r="T30" s="213"/>
      <c r="U30" s="213"/>
      <c r="V30" s="213"/>
      <c r="W30" s="209"/>
      <c r="X30" s="221"/>
      <c r="Y30" s="221"/>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13"/>
      <c r="BV30" s="213"/>
      <c r="BW30" s="213"/>
      <c r="BX30" s="213"/>
      <c r="BY30" s="213"/>
      <c r="BZ30" s="213"/>
      <c r="CA30" s="213"/>
      <c r="CB30" s="213"/>
      <c r="CC30" s="213"/>
      <c r="CD30" s="213"/>
      <c r="CE30" s="213"/>
      <c r="CF30" s="213"/>
      <c r="CG30" s="213"/>
      <c r="CH30" s="209">
        <f t="shared" si="14"/>
        <v>0</v>
      </c>
      <c r="CI30" s="209">
        <f t="shared" si="15"/>
        <v>0</v>
      </c>
      <c r="CJ30" s="209">
        <f t="shared" si="15"/>
        <v>0</v>
      </c>
    </row>
    <row r="31" spans="1:88" x14ac:dyDescent="0.2">
      <c r="A31" s="214" t="s">
        <v>58</v>
      </c>
      <c r="B31" s="209"/>
      <c r="C31" s="209"/>
      <c r="D31" s="209"/>
      <c r="E31" s="209"/>
      <c r="F31" s="209"/>
      <c r="G31" s="209"/>
      <c r="H31" s="209"/>
      <c r="I31" s="209"/>
      <c r="J31" s="209"/>
      <c r="K31" s="209"/>
      <c r="L31" s="209"/>
      <c r="M31" s="209"/>
      <c r="N31" s="209"/>
      <c r="O31" s="209"/>
      <c r="P31" s="209"/>
      <c r="Q31" s="209"/>
      <c r="R31" s="209"/>
      <c r="S31" s="209"/>
      <c r="T31" s="209"/>
      <c r="U31" s="209"/>
      <c r="V31" s="209"/>
      <c r="W31" s="209"/>
      <c r="X31" s="221"/>
      <c r="Y31" s="221"/>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v>67345955000</v>
      </c>
      <c r="CC31" s="209">
        <v>-30816856000</v>
      </c>
      <c r="CD31" s="209">
        <v>-13952810000</v>
      </c>
      <c r="CE31" s="209"/>
      <c r="CF31" s="209"/>
      <c r="CG31" s="209"/>
      <c r="CH31" s="209">
        <f t="shared" si="14"/>
        <v>67345955000</v>
      </c>
      <c r="CI31" s="209">
        <f t="shared" si="15"/>
        <v>-30816856000</v>
      </c>
      <c r="CJ31" s="209">
        <f t="shared" si="15"/>
        <v>-13952810000</v>
      </c>
    </row>
    <row r="32" spans="1:88" s="224" customFormat="1" x14ac:dyDescent="0.2">
      <c r="A32" s="223" t="s">
        <v>59</v>
      </c>
      <c r="B32" s="210">
        <f t="shared" ref="B32:U32" si="16">SUM(B18:B31)</f>
        <v>4755156000</v>
      </c>
      <c r="C32" s="210">
        <f t="shared" si="16"/>
        <v>8823346000</v>
      </c>
      <c r="D32" s="210">
        <f t="shared" ref="D32" si="17">SUM(D18:D31)</f>
        <v>10287401000</v>
      </c>
      <c r="E32" s="210">
        <f t="shared" si="16"/>
        <v>1192318756000</v>
      </c>
      <c r="F32" s="210">
        <f t="shared" si="16"/>
        <v>934403891000</v>
      </c>
      <c r="G32" s="210">
        <f t="shared" ref="G32" si="18">SUM(G18:G31)</f>
        <v>1080171032000</v>
      </c>
      <c r="H32" s="210">
        <f t="shared" si="16"/>
        <v>104674042000</v>
      </c>
      <c r="I32" s="210">
        <f t="shared" si="16"/>
        <v>115142535000</v>
      </c>
      <c r="J32" s="210">
        <f t="shared" ref="J32" si="19">SUM(J18:J31)</f>
        <v>112719818000</v>
      </c>
      <c r="K32" s="210">
        <f t="shared" si="16"/>
        <v>34096209</v>
      </c>
      <c r="L32" s="210">
        <f t="shared" si="16"/>
        <v>34096209</v>
      </c>
      <c r="M32" s="210"/>
      <c r="N32" s="210">
        <f t="shared" si="16"/>
        <v>7182070001</v>
      </c>
      <c r="O32" s="210">
        <f t="shared" si="16"/>
        <v>9137070000</v>
      </c>
      <c r="P32" s="210">
        <f t="shared" ref="P32" si="20">SUM(P18:P31)</f>
        <v>10964920000</v>
      </c>
      <c r="Q32" s="210">
        <f t="shared" si="16"/>
        <v>5764636</v>
      </c>
      <c r="R32" s="210">
        <f t="shared" si="16"/>
        <v>5764636</v>
      </c>
      <c r="S32" s="210">
        <f t="shared" ref="S32" si="21">SUM(S18:S31)</f>
        <v>5764636</v>
      </c>
      <c r="T32" s="210">
        <f t="shared" si="16"/>
        <v>1033261000</v>
      </c>
      <c r="U32" s="210">
        <f t="shared" si="16"/>
        <v>1578615000</v>
      </c>
      <c r="V32" s="210">
        <f>SUM(V18:V31)</f>
        <v>931162000</v>
      </c>
      <c r="W32" s="210">
        <f>SUM(W17:W31)</f>
        <v>116068045000</v>
      </c>
      <c r="X32" s="225">
        <f>SUM(X17:X31)</f>
        <v>81927266000</v>
      </c>
      <c r="Y32" s="225">
        <f>SUM(Y17:Y31)</f>
        <v>121580071000</v>
      </c>
      <c r="Z32" s="210">
        <f t="shared" ref="Z32:CI32" si="22">SUM(Z18:Z31)</f>
        <v>-30734510000</v>
      </c>
      <c r="AA32" s="210">
        <f t="shared" si="22"/>
        <v>-25905544000</v>
      </c>
      <c r="AB32" s="210">
        <f t="shared" ref="AB32" si="23">SUM(AB18:AB31)</f>
        <v>-10033721000</v>
      </c>
      <c r="AC32" s="210">
        <f t="shared" si="22"/>
        <v>86343093000</v>
      </c>
      <c r="AD32" s="210">
        <f t="shared" si="22"/>
        <v>56984025000</v>
      </c>
      <c r="AE32" s="210">
        <f t="shared" ref="AE32" si="24">SUM(AE18:AE31)</f>
        <v>53211754000</v>
      </c>
      <c r="AF32" s="210">
        <f t="shared" si="22"/>
        <v>-2356824000</v>
      </c>
      <c r="AG32" s="210">
        <f t="shared" si="22"/>
        <v>-2353967000</v>
      </c>
      <c r="AH32" s="210">
        <f t="shared" ref="AH32" si="25">SUM(AH18:AH31)</f>
        <v>-2375206000</v>
      </c>
      <c r="AI32" s="210">
        <f t="shared" si="22"/>
        <v>35310383000</v>
      </c>
      <c r="AJ32" s="210">
        <f t="shared" si="22"/>
        <v>58642796000</v>
      </c>
      <c r="AK32" s="210">
        <f t="shared" ref="AK32" si="26">SUM(AK18:AK31)</f>
        <v>82987538000</v>
      </c>
      <c r="AL32" s="210">
        <f t="shared" si="22"/>
        <v>-774036000</v>
      </c>
      <c r="AM32" s="210">
        <f t="shared" si="22"/>
        <v>-3907886000</v>
      </c>
      <c r="AN32" s="210">
        <f t="shared" ref="AN32" si="27">SUM(AN18:AN31)</f>
        <v>-2256160000</v>
      </c>
      <c r="AO32" s="210">
        <f t="shared" si="22"/>
        <v>7476579668</v>
      </c>
      <c r="AP32" s="210">
        <f t="shared" si="22"/>
        <v>8199657092</v>
      </c>
      <c r="AQ32" s="210"/>
      <c r="AR32" s="210">
        <f t="shared" si="22"/>
        <v>46723613893</v>
      </c>
      <c r="AS32" s="210">
        <f t="shared" si="22"/>
        <v>81067549991</v>
      </c>
      <c r="AT32" s="210">
        <f t="shared" ref="AT32" si="28">SUM(AT18:AT31)</f>
        <v>94942120991</v>
      </c>
      <c r="AU32" s="210">
        <f t="shared" si="22"/>
        <v>3579878414</v>
      </c>
      <c r="AV32" s="210">
        <f t="shared" si="22"/>
        <v>19433390496</v>
      </c>
      <c r="AW32" s="210">
        <f t="shared" ref="AW32" si="29">SUM(AW18:AW31)</f>
        <v>19433390496</v>
      </c>
      <c r="AX32" s="210">
        <f t="shared" si="22"/>
        <v>57737019000</v>
      </c>
      <c r="AY32" s="210">
        <f t="shared" si="22"/>
        <v>87004770000</v>
      </c>
      <c r="AZ32" s="210">
        <f t="shared" ref="AZ32" si="30">SUM(AZ18:AZ31)</f>
        <v>57878968286</v>
      </c>
      <c r="BA32" s="210">
        <f t="shared" si="22"/>
        <v>9332815949</v>
      </c>
      <c r="BB32" s="210">
        <f t="shared" si="22"/>
        <v>22182147309</v>
      </c>
      <c r="BC32" s="210">
        <f t="shared" ref="BC32" si="31">SUM(BC18:BC31)</f>
        <v>27595978100</v>
      </c>
      <c r="BD32" s="210">
        <f t="shared" si="22"/>
        <v>-1821295000</v>
      </c>
      <c r="BE32" s="210">
        <f t="shared" si="22"/>
        <v>5111088000</v>
      </c>
      <c r="BF32" s="210">
        <f t="shared" ref="BF32" si="32">SUM(BF18:BF31)</f>
        <v>8806462975</v>
      </c>
      <c r="BG32" s="210">
        <f t="shared" si="22"/>
        <v>-53608537</v>
      </c>
      <c r="BH32" s="210">
        <f t="shared" si="22"/>
        <v>1005315</v>
      </c>
      <c r="BI32" s="210">
        <f t="shared" ref="BI32" si="33">SUM(BI18:BI31)</f>
        <v>28005774</v>
      </c>
      <c r="BJ32" s="210">
        <f t="shared" si="22"/>
        <v>5595290000</v>
      </c>
      <c r="BK32" s="210">
        <f t="shared" si="22"/>
        <v>5595290000</v>
      </c>
      <c r="BL32" s="210">
        <f>SUM(BL18:BL31)</f>
        <v>5595290000</v>
      </c>
      <c r="BM32" s="210">
        <f t="shared" si="22"/>
        <v>41262016398</v>
      </c>
      <c r="BN32" s="210">
        <f t="shared" si="22"/>
        <v>73705016398</v>
      </c>
      <c r="BO32" s="210"/>
      <c r="BP32" s="210">
        <f t="shared" si="22"/>
        <v>1740596</v>
      </c>
      <c r="BQ32" s="210">
        <f t="shared" si="22"/>
        <v>1740596</v>
      </c>
      <c r="BR32" s="210">
        <f>SUM(BR18:BR31)</f>
        <v>1740596</v>
      </c>
      <c r="BS32" s="210">
        <f t="shared" si="22"/>
        <v>15000</v>
      </c>
      <c r="BT32" s="210">
        <f t="shared" si="22"/>
        <v>15000</v>
      </c>
      <c r="BU32" s="210">
        <f>SUM(BU18:BU31)</f>
        <v>15000</v>
      </c>
      <c r="BV32" s="210">
        <f t="shared" ref="BV32:CC32" si="34">SUM(BV18:BV31)</f>
        <v>-956047022</v>
      </c>
      <c r="BW32" s="210">
        <f t="shared" si="34"/>
        <v>-1544810342</v>
      </c>
      <c r="BX32" s="210"/>
      <c r="BY32" s="210">
        <f t="shared" si="34"/>
        <v>110000000</v>
      </c>
      <c r="BZ32" s="210">
        <f t="shared" si="34"/>
        <v>110000000</v>
      </c>
      <c r="CA32" s="210">
        <f t="shared" ref="CA32" si="35">SUM(CA18:CA31)</f>
        <v>109681983</v>
      </c>
      <c r="CB32" s="210">
        <f t="shared" si="34"/>
        <v>218827976000</v>
      </c>
      <c r="CC32" s="210">
        <f t="shared" si="34"/>
        <v>185561327000</v>
      </c>
      <c r="CD32" s="210">
        <f t="shared" ref="CD32:CF32" si="36">SUM(CD18:CD31)</f>
        <v>340542246000</v>
      </c>
      <c r="CE32" s="210">
        <f t="shared" si="36"/>
        <v>0</v>
      </c>
      <c r="CF32" s="210">
        <f t="shared" si="36"/>
        <v>0</v>
      </c>
      <c r="CG32" s="210">
        <f t="shared" ref="CG32" si="37">SUM(CG18:CG31)</f>
        <v>4244282760</v>
      </c>
      <c r="CH32" s="210">
        <f t="shared" si="22"/>
        <v>1901675291205</v>
      </c>
      <c r="CI32" s="210">
        <f t="shared" si="22"/>
        <v>1720940194700</v>
      </c>
      <c r="CJ32" s="210">
        <f t="shared" ref="CJ32" si="38">SUM(CJ18:CJ31)</f>
        <v>2013128273837</v>
      </c>
    </row>
    <row r="33" spans="1:88" s="224" customFormat="1" x14ac:dyDescent="0.2">
      <c r="A33" s="223" t="s">
        <v>60</v>
      </c>
      <c r="B33" s="210">
        <f t="shared" ref="B33:AV33" si="39">+B16+B32</f>
        <v>19078339000</v>
      </c>
      <c r="C33" s="210">
        <f t="shared" si="39"/>
        <v>45776326000</v>
      </c>
      <c r="D33" s="210">
        <f t="shared" ref="D33" si="40">+D16+D32</f>
        <v>41493176000</v>
      </c>
      <c r="E33" s="210">
        <f t="shared" si="39"/>
        <v>2619005151000</v>
      </c>
      <c r="F33" s="210">
        <f t="shared" si="39"/>
        <v>2019658805000</v>
      </c>
      <c r="G33" s="210">
        <f t="shared" ref="G33" si="41">+G16+G32</f>
        <v>2264599683000</v>
      </c>
      <c r="H33" s="210">
        <f t="shared" si="39"/>
        <v>306693042000</v>
      </c>
      <c r="I33" s="210">
        <f t="shared" si="39"/>
        <v>280791829000</v>
      </c>
      <c r="J33" s="210">
        <f t="shared" ref="J33" si="42">+J16+J32</f>
        <v>256128316000</v>
      </c>
      <c r="K33" s="210">
        <f t="shared" si="39"/>
        <v>376588169</v>
      </c>
      <c r="L33" s="210">
        <f t="shared" si="39"/>
        <v>377635677</v>
      </c>
      <c r="M33" s="210"/>
      <c r="N33" s="210">
        <f t="shared" si="39"/>
        <v>10042453199</v>
      </c>
      <c r="O33" s="210">
        <f t="shared" si="39"/>
        <v>11630105374</v>
      </c>
      <c r="P33" s="210">
        <f t="shared" ref="P33" si="43">+P16+P32</f>
        <v>18644831421</v>
      </c>
      <c r="Q33" s="210">
        <f t="shared" si="39"/>
        <v>4812525602</v>
      </c>
      <c r="R33" s="210">
        <f t="shared" si="39"/>
        <v>5550192760</v>
      </c>
      <c r="S33" s="210">
        <f t="shared" ref="S33" si="44">+S16+S32</f>
        <v>8127613883</v>
      </c>
      <c r="T33" s="210">
        <f t="shared" si="39"/>
        <v>1927716000</v>
      </c>
      <c r="U33" s="210">
        <f t="shared" si="39"/>
        <v>1894229000</v>
      </c>
      <c r="V33" s="210">
        <f>+V16+V32</f>
        <v>2909587000</v>
      </c>
      <c r="W33" s="210">
        <f t="shared" si="39"/>
        <v>395224424000</v>
      </c>
      <c r="X33" s="225">
        <f t="shared" si="39"/>
        <v>281199488000</v>
      </c>
      <c r="Y33" s="225">
        <f t="shared" ref="Y33" si="45">+Y16+Y32</f>
        <v>377169481000</v>
      </c>
      <c r="Z33" s="210">
        <f t="shared" si="39"/>
        <v>6476865000</v>
      </c>
      <c r="AA33" s="210">
        <f t="shared" si="39"/>
        <v>3772940000</v>
      </c>
      <c r="AB33" s="210">
        <f t="shared" ref="AB33" si="46">+AB16+AB32</f>
        <v>25069979000</v>
      </c>
      <c r="AC33" s="210">
        <f t="shared" si="39"/>
        <v>150127947000</v>
      </c>
      <c r="AD33" s="210">
        <f t="shared" si="39"/>
        <v>71238357000</v>
      </c>
      <c r="AE33" s="210">
        <f t="shared" ref="AE33" si="47">+AE16+AE32</f>
        <v>76582795000</v>
      </c>
      <c r="AF33" s="210">
        <f t="shared" si="39"/>
        <v>350924000</v>
      </c>
      <c r="AG33" s="210">
        <f t="shared" si="39"/>
        <v>352412000</v>
      </c>
      <c r="AH33" s="210">
        <f t="shared" ref="AH33" si="48">+AH16+AH32</f>
        <v>265921000</v>
      </c>
      <c r="AI33" s="210">
        <f t="shared" si="39"/>
        <v>72928088000</v>
      </c>
      <c r="AJ33" s="210">
        <f t="shared" si="39"/>
        <v>140986004000</v>
      </c>
      <c r="AK33" s="210">
        <f t="shared" ref="AK33" si="49">+AK16+AK32</f>
        <v>161330379000</v>
      </c>
      <c r="AL33" s="210">
        <f t="shared" si="39"/>
        <v>905778000</v>
      </c>
      <c r="AM33" s="210">
        <f t="shared" si="39"/>
        <v>3998361000</v>
      </c>
      <c r="AN33" s="210">
        <f t="shared" ref="AN33" si="50">+AN16+AN32</f>
        <v>13005005000</v>
      </c>
      <c r="AO33" s="210">
        <f t="shared" si="39"/>
        <v>19694102019</v>
      </c>
      <c r="AP33" s="210">
        <f t="shared" si="39"/>
        <v>19462535431</v>
      </c>
      <c r="AQ33" s="210"/>
      <c r="AR33" s="210">
        <f t="shared" si="39"/>
        <v>50190585364</v>
      </c>
      <c r="AS33" s="210">
        <f t="shared" si="39"/>
        <v>86793868615</v>
      </c>
      <c r="AT33" s="210">
        <f t="shared" ref="AT33" si="51">+AT16+AT32</f>
        <v>112432180984</v>
      </c>
      <c r="AU33" s="210">
        <f t="shared" si="39"/>
        <v>4189365122</v>
      </c>
      <c r="AV33" s="210">
        <f t="shared" si="39"/>
        <v>20615437958</v>
      </c>
      <c r="AW33" s="210">
        <f t="shared" ref="AW33" si="52">+AW16+AW32</f>
        <v>19324176951</v>
      </c>
      <c r="AX33" s="210">
        <f t="shared" ref="AX33:CI33" si="53">+AX16+AX32</f>
        <v>88018496000</v>
      </c>
      <c r="AY33" s="210">
        <f t="shared" si="53"/>
        <v>108650883000</v>
      </c>
      <c r="AZ33" s="210">
        <f t="shared" ref="AZ33" si="54">+AZ16+AZ32</f>
        <v>124421850829</v>
      </c>
      <c r="BA33" s="210">
        <f t="shared" si="53"/>
        <v>13105194201</v>
      </c>
      <c r="BB33" s="210">
        <f t="shared" si="53"/>
        <v>28909903040</v>
      </c>
      <c r="BC33" s="210">
        <f t="shared" ref="BC33" si="55">+BC16+BC32</f>
        <v>39755577819</v>
      </c>
      <c r="BD33" s="210">
        <f t="shared" si="53"/>
        <v>30118238000</v>
      </c>
      <c r="BE33" s="210">
        <f t="shared" si="53"/>
        <v>27253034000</v>
      </c>
      <c r="BF33" s="210">
        <f t="shared" ref="BF33" si="56">+BF16+BF32</f>
        <v>73715612017</v>
      </c>
      <c r="BG33" s="210">
        <f t="shared" si="53"/>
        <v>294187173</v>
      </c>
      <c r="BH33" s="210">
        <f t="shared" si="53"/>
        <v>213860883</v>
      </c>
      <c r="BI33" s="210">
        <f t="shared" ref="BI33" si="57">+BI16+BI32</f>
        <v>287429359</v>
      </c>
      <c r="BJ33" s="210">
        <f t="shared" si="53"/>
        <v>11514854751</v>
      </c>
      <c r="BK33" s="210">
        <f t="shared" si="53"/>
        <v>12214715805</v>
      </c>
      <c r="BL33" s="210">
        <f>+BL16+BL32</f>
        <v>106633981494</v>
      </c>
      <c r="BM33" s="210">
        <f t="shared" si="53"/>
        <v>49254965611</v>
      </c>
      <c r="BN33" s="210">
        <f t="shared" si="53"/>
        <v>83846314039</v>
      </c>
      <c r="BO33" s="210"/>
      <c r="BP33" s="210">
        <f t="shared" si="53"/>
        <v>17062041433</v>
      </c>
      <c r="BQ33" s="210">
        <f t="shared" si="53"/>
        <v>14074990098</v>
      </c>
      <c r="BR33" s="210">
        <f>+BR16+BR32</f>
        <v>164590541415</v>
      </c>
      <c r="BS33" s="210">
        <f t="shared" si="53"/>
        <v>16860139526</v>
      </c>
      <c r="BT33" s="210">
        <f t="shared" si="53"/>
        <v>16206556950</v>
      </c>
      <c r="BU33" s="210">
        <f>+BU16+BU32</f>
        <v>116250190805</v>
      </c>
      <c r="BV33" s="210">
        <f t="shared" ref="BV33:CC33" si="58">+BV16+BV32</f>
        <v>351386404</v>
      </c>
      <c r="BW33" s="210">
        <f t="shared" si="58"/>
        <v>2745773556</v>
      </c>
      <c r="BX33" s="210"/>
      <c r="BY33" s="210">
        <f t="shared" si="58"/>
        <v>8636796756</v>
      </c>
      <c r="BZ33" s="210">
        <f t="shared" si="58"/>
        <v>19295879091</v>
      </c>
      <c r="CA33" s="210">
        <f t="shared" ref="CA33" si="59">+CA16+CA32</f>
        <v>145014905767</v>
      </c>
      <c r="CB33" s="210">
        <f t="shared" si="58"/>
        <v>539332384000</v>
      </c>
      <c r="CC33" s="210">
        <f t="shared" si="58"/>
        <v>437947612000</v>
      </c>
      <c r="CD33" s="210">
        <f t="shared" ref="CD33:CF33" si="60">+CD16+CD32</f>
        <v>598408884000</v>
      </c>
      <c r="CE33" s="210">
        <f t="shared" si="60"/>
        <v>0</v>
      </c>
      <c r="CF33" s="210">
        <f t="shared" si="60"/>
        <v>0</v>
      </c>
      <c r="CG33" s="210">
        <f t="shared" ref="CG33" si="61">+CG16+CG32</f>
        <v>11169578303</v>
      </c>
      <c r="CH33" s="210">
        <f t="shared" si="53"/>
        <v>4436572577330</v>
      </c>
      <c r="CI33" s="210">
        <f t="shared" si="53"/>
        <v>3745458049277</v>
      </c>
      <c r="CJ33" s="210">
        <f t="shared" ref="CJ33" si="62">+CJ16+CJ32</f>
        <v>4746162098744</v>
      </c>
    </row>
    <row r="34" spans="1:88" s="224" customFormat="1" x14ac:dyDescent="0.2">
      <c r="A34" s="232"/>
      <c r="B34" s="233"/>
      <c r="C34" s="233"/>
      <c r="D34" s="233"/>
      <c r="E34" s="233"/>
      <c r="F34" s="233"/>
      <c r="G34" s="233"/>
      <c r="H34" s="233"/>
      <c r="I34" s="233"/>
      <c r="J34" s="233"/>
      <c r="K34" s="233"/>
      <c r="L34" s="233"/>
      <c r="M34" s="233"/>
      <c r="N34" s="233"/>
      <c r="O34" s="233"/>
      <c r="P34" s="233"/>
      <c r="Q34" s="233"/>
      <c r="R34" s="233"/>
      <c r="S34" s="233"/>
      <c r="T34" s="233"/>
      <c r="U34" s="233"/>
      <c r="V34" s="233"/>
      <c r="W34" s="233"/>
      <c r="X34" s="234"/>
      <c r="Y34" s="234"/>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row>
    <row r="35" spans="1:88" s="224" customFormat="1" ht="15" x14ac:dyDescent="0.2">
      <c r="A35" s="306" t="s">
        <v>242</v>
      </c>
      <c r="B35" s="233"/>
      <c r="C35" s="233"/>
      <c r="D35" s="233"/>
      <c r="E35" s="233"/>
      <c r="F35" s="233"/>
      <c r="G35" s="233"/>
      <c r="H35" s="233"/>
      <c r="I35" s="233"/>
      <c r="J35" s="233"/>
      <c r="K35" s="233"/>
      <c r="L35" s="233"/>
      <c r="M35" s="233"/>
      <c r="N35" s="233"/>
      <c r="O35" s="233"/>
      <c r="P35" s="233"/>
      <c r="Q35" s="233"/>
      <c r="R35" s="233"/>
      <c r="S35" s="233"/>
      <c r="T35" s="233"/>
      <c r="U35" s="233"/>
      <c r="V35" s="233"/>
      <c r="W35" s="233"/>
      <c r="X35" s="234"/>
      <c r="Y35" s="234"/>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row>
    <row r="36" spans="1:88" s="224" customFormat="1" x14ac:dyDescent="0.2">
      <c r="A36" s="216"/>
      <c r="B36" s="233"/>
      <c r="C36" s="233"/>
      <c r="D36" s="233"/>
      <c r="E36" s="233"/>
      <c r="F36" s="233"/>
      <c r="G36" s="233"/>
      <c r="H36" s="233"/>
      <c r="I36" s="233"/>
      <c r="J36" s="233"/>
      <c r="K36" s="233"/>
      <c r="L36" s="233"/>
      <c r="M36" s="233"/>
      <c r="N36" s="233"/>
      <c r="O36" s="233"/>
      <c r="P36" s="233"/>
      <c r="Q36" s="233"/>
      <c r="R36" s="233"/>
      <c r="S36" s="233"/>
      <c r="T36" s="233"/>
      <c r="U36" s="233"/>
      <c r="V36" s="233"/>
      <c r="W36" s="233"/>
      <c r="X36" s="234"/>
      <c r="Y36" s="234"/>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row>
    <row r="37" spans="1:88" x14ac:dyDescent="0.2">
      <c r="A37" s="226" t="s">
        <v>61</v>
      </c>
      <c r="B37" s="213">
        <v>13453267000</v>
      </c>
      <c r="C37" s="213">
        <v>42553536000</v>
      </c>
      <c r="D37" s="213">
        <v>12914426000</v>
      </c>
      <c r="E37" s="213">
        <v>231572285000</v>
      </c>
      <c r="F37" s="213">
        <v>293070454000</v>
      </c>
      <c r="G37" s="213"/>
      <c r="H37" s="213">
        <v>40234054000</v>
      </c>
      <c r="I37" s="213">
        <f>62684302000</f>
        <v>62684302000</v>
      </c>
      <c r="J37" s="213">
        <v>35644076000</v>
      </c>
      <c r="K37" s="213"/>
      <c r="L37" s="213"/>
      <c r="M37" s="213"/>
      <c r="N37" s="213"/>
      <c r="O37" s="213"/>
      <c r="P37" s="213"/>
      <c r="Q37" s="213">
        <v>71363936872</v>
      </c>
      <c r="R37" s="213">
        <v>87345699632</v>
      </c>
      <c r="S37" s="213"/>
      <c r="T37" s="213">
        <v>308023000</v>
      </c>
      <c r="U37" s="213">
        <v>344844000</v>
      </c>
      <c r="V37" s="213">
        <v>78371000</v>
      </c>
      <c r="W37" s="235">
        <v>95662226000</v>
      </c>
      <c r="X37" s="236">
        <v>144127405000</v>
      </c>
      <c r="Y37" s="236">
        <v>81088217000</v>
      </c>
      <c r="Z37" s="213">
        <v>15221258000</v>
      </c>
      <c r="AA37" s="213">
        <v>33108469000</v>
      </c>
      <c r="AB37" s="213">
        <v>52644247000</v>
      </c>
      <c r="AC37" s="213">
        <v>145392539000</v>
      </c>
      <c r="AD37" s="213">
        <v>162664566000</v>
      </c>
      <c r="AE37" s="213">
        <v>84393861000</v>
      </c>
      <c r="AF37" s="213"/>
      <c r="AG37" s="213"/>
      <c r="AH37" s="213"/>
      <c r="AI37" s="213">
        <v>94932806000</v>
      </c>
      <c r="AJ37" s="213">
        <v>169908153000</v>
      </c>
      <c r="AK37" s="213">
        <v>79375578000</v>
      </c>
      <c r="AL37" s="213">
        <v>0</v>
      </c>
      <c r="AM37" s="213">
        <v>5866705000</v>
      </c>
      <c r="AN37" s="213">
        <v>10806442000</v>
      </c>
      <c r="AO37" s="213">
        <v>448542752821</v>
      </c>
      <c r="AP37" s="213">
        <v>529721250436</v>
      </c>
      <c r="AQ37" s="213"/>
      <c r="AR37" s="213">
        <v>58965213853</v>
      </c>
      <c r="AS37" s="213">
        <v>54898329203</v>
      </c>
      <c r="AT37" s="213"/>
      <c r="AU37" s="213">
        <v>1833682673</v>
      </c>
      <c r="AV37" s="213">
        <v>4878208795</v>
      </c>
      <c r="AW37" s="213"/>
      <c r="AX37" s="213">
        <v>153895184000</v>
      </c>
      <c r="AY37" s="213">
        <v>171302076000</v>
      </c>
      <c r="AZ37" s="213">
        <v>80312156528</v>
      </c>
      <c r="BA37" s="213">
        <v>30406454129</v>
      </c>
      <c r="BB37" s="213">
        <v>53679158904</v>
      </c>
      <c r="BC37" s="213"/>
      <c r="BD37" s="213">
        <v>46392439000</v>
      </c>
      <c r="BE37" s="213">
        <v>62333716000</v>
      </c>
      <c r="BF37" s="213">
        <v>26295834888</v>
      </c>
      <c r="BG37" s="213">
        <v>4364091084</v>
      </c>
      <c r="BH37" s="213">
        <v>3317110889</v>
      </c>
      <c r="BI37" s="213">
        <v>1202205733</v>
      </c>
      <c r="BJ37" s="213">
        <v>226420362873</v>
      </c>
      <c r="BK37" s="213">
        <v>242165033356</v>
      </c>
      <c r="BL37" s="213"/>
      <c r="BM37" s="213">
        <v>73117605430</v>
      </c>
      <c r="BN37" s="213">
        <v>100549390107</v>
      </c>
      <c r="BO37" s="213"/>
      <c r="BP37" s="213">
        <v>266235375859</v>
      </c>
      <c r="BQ37" s="213">
        <v>260532924662</v>
      </c>
      <c r="BR37" s="213"/>
      <c r="BS37" s="213">
        <v>215481584260</v>
      </c>
      <c r="BT37" s="213">
        <v>228253115373</v>
      </c>
      <c r="BU37" s="213"/>
      <c r="BV37" s="213"/>
      <c r="BW37" s="213">
        <v>458038376</v>
      </c>
      <c r="BX37" s="213"/>
      <c r="BY37" s="213">
        <v>342687443138</v>
      </c>
      <c r="BZ37" s="213">
        <v>343285340463</v>
      </c>
      <c r="CA37" s="213"/>
      <c r="CB37" s="213">
        <v>575773323000</v>
      </c>
      <c r="CC37" s="213">
        <v>644032918000</v>
      </c>
      <c r="CD37" s="213">
        <v>303866255000</v>
      </c>
      <c r="CE37" s="213"/>
      <c r="CF37" s="213"/>
      <c r="CG37" s="213"/>
      <c r="CH37" s="209">
        <f t="shared" ref="CH37:CH39" si="63">+B37+E37+H37+K37+N37+Q37+T37+W37+Z37+AC37+AF37+AI37+AL37+AO37+AR37+AU37+AX37+BA37+BD37+BG37+BJ37+BM37+BP37+BS37+BV37+BY37+CB37</f>
        <v>3152255906992</v>
      </c>
      <c r="CI37" s="209">
        <f t="shared" ref="CI37:CJ39" si="64">+C37+F37+I37+L37+O37+R37+U37+X37+AA37+AD37+AG37+AJ37+AM37+AP37+AS37+AV37+AY37+BB37+BE37+BH37+BK37+BN37+BQ37+BT37+BW37+BZ37+CC37</f>
        <v>3701080744196</v>
      </c>
      <c r="CJ37" s="209">
        <f t="shared" si="64"/>
        <v>768621670149</v>
      </c>
    </row>
    <row r="38" spans="1:88" x14ac:dyDescent="0.2">
      <c r="A38" s="226" t="s">
        <v>62</v>
      </c>
      <c r="B38" s="213">
        <f>8066878000+738291000</f>
        <v>8805169000</v>
      </c>
      <c r="C38" s="213">
        <f>30647950000+2028651000</f>
        <v>32676601000</v>
      </c>
      <c r="D38" s="213">
        <f>11054500000+522131000</f>
        <v>11576631000</v>
      </c>
      <c r="E38" s="213">
        <f>158351140000+12972811000</f>
        <v>171323951000</v>
      </c>
      <c r="F38" s="213">
        <f>156591249000+17008098000</f>
        <v>173599347000</v>
      </c>
      <c r="G38" s="213"/>
      <c r="H38" s="213">
        <f>30031647000+1702698000</f>
        <v>31734345000</v>
      </c>
      <c r="I38" s="213">
        <f>37594350000+2409593000</f>
        <v>40003943000</v>
      </c>
      <c r="J38" s="213">
        <f>16101376000+1216956000</f>
        <v>17318332000</v>
      </c>
      <c r="K38" s="213"/>
      <c r="L38" s="213"/>
      <c r="M38" s="213"/>
      <c r="N38" s="213"/>
      <c r="O38" s="213"/>
      <c r="P38" s="213"/>
      <c r="Q38" s="213"/>
      <c r="R38" s="213"/>
      <c r="S38" s="213"/>
      <c r="T38" s="213"/>
      <c r="U38" s="213"/>
      <c r="V38" s="213"/>
      <c r="W38" s="235">
        <f>78023827000+5906925000</f>
        <v>83930752000</v>
      </c>
      <c r="X38" s="236">
        <f>104506137000+9554509000</f>
        <v>114060646000</v>
      </c>
      <c r="Y38" s="236">
        <v>47828493000</v>
      </c>
      <c r="Z38" s="213"/>
      <c r="AA38" s="213"/>
      <c r="AB38" s="213"/>
      <c r="AC38" s="213"/>
      <c r="AD38" s="213"/>
      <c r="AE38" s="213"/>
      <c r="AF38" s="213"/>
      <c r="AG38" s="213"/>
      <c r="AH38" s="213"/>
      <c r="AI38" s="213"/>
      <c r="AJ38" s="213"/>
      <c r="AK38" s="213"/>
      <c r="AL38" s="213"/>
      <c r="AM38" s="213"/>
      <c r="AN38" s="213"/>
      <c r="AO38" s="213">
        <v>368950782031</v>
      </c>
      <c r="AP38" s="213">
        <v>476760160794</v>
      </c>
      <c r="AQ38" s="213"/>
      <c r="AR38" s="213">
        <v>34044434442</v>
      </c>
      <c r="AS38" s="213">
        <v>32883690631</v>
      </c>
      <c r="AT38" s="213"/>
      <c r="AU38" s="213">
        <v>597585425</v>
      </c>
      <c r="AV38" s="213">
        <v>1630733538</v>
      </c>
      <c r="AW38" s="213"/>
      <c r="AX38" s="213">
        <v>85034288000</v>
      </c>
      <c r="AY38" s="213">
        <v>88681042000</v>
      </c>
      <c r="AZ38" s="213">
        <v>41299653432</v>
      </c>
      <c r="BA38" s="213">
        <v>29374603130</v>
      </c>
      <c r="BB38" s="213">
        <v>54118384191</v>
      </c>
      <c r="BC38" s="213"/>
      <c r="BD38" s="213">
        <v>43552383000</v>
      </c>
      <c r="BE38" s="213">
        <v>51017387000</v>
      </c>
      <c r="BF38" s="213">
        <v>20434563225</v>
      </c>
      <c r="BG38" s="213">
        <v>3753417515</v>
      </c>
      <c r="BH38" s="213">
        <v>2485057560</v>
      </c>
      <c r="BI38" s="213">
        <v>915641686</v>
      </c>
      <c r="BJ38" s="213">
        <v>49089755331</v>
      </c>
      <c r="BK38" s="213">
        <v>48582942501</v>
      </c>
      <c r="BL38" s="213"/>
      <c r="BM38" s="213">
        <v>58826125398</v>
      </c>
      <c r="BN38" s="213">
        <v>66975264685</v>
      </c>
      <c r="BO38" s="213"/>
      <c r="BP38" s="213"/>
      <c r="BQ38" s="213"/>
      <c r="BR38" s="213"/>
      <c r="BS38" s="213">
        <v>30840426623</v>
      </c>
      <c r="BT38" s="213">
        <v>41549434331</v>
      </c>
      <c r="BU38" s="213"/>
      <c r="BV38" s="213">
        <v>185732870</v>
      </c>
      <c r="BW38" s="213">
        <v>1511858346</v>
      </c>
      <c r="BX38" s="213"/>
      <c r="BY38" s="213">
        <f>46049837492+1271068405</f>
        <v>47320905897</v>
      </c>
      <c r="BZ38" s="213">
        <f>44620140514+1739623787</f>
        <v>46359764301</v>
      </c>
      <c r="CA38" s="213"/>
      <c r="CB38" s="213"/>
      <c r="CC38" s="213"/>
      <c r="CD38" s="213"/>
      <c r="CE38" s="213"/>
      <c r="CF38" s="213"/>
      <c r="CG38" s="213"/>
      <c r="CH38" s="209">
        <f t="shared" si="63"/>
        <v>1047364656662</v>
      </c>
      <c r="CI38" s="209">
        <f t="shared" si="64"/>
        <v>1272896256878</v>
      </c>
      <c r="CJ38" s="209">
        <f t="shared" si="64"/>
        <v>139373314343</v>
      </c>
    </row>
    <row r="39" spans="1:88" x14ac:dyDescent="0.2">
      <c r="A39" s="214" t="s">
        <v>63</v>
      </c>
      <c r="B39" s="213">
        <v>33518000</v>
      </c>
      <c r="C39" s="213">
        <f>27380000</f>
        <v>27380000</v>
      </c>
      <c r="D39" s="213">
        <v>26010000</v>
      </c>
      <c r="E39" s="213">
        <v>195817000</v>
      </c>
      <c r="F39" s="213">
        <v>475211000</v>
      </c>
      <c r="G39" s="213"/>
      <c r="H39" s="213">
        <v>11297000</v>
      </c>
      <c r="I39" s="213">
        <v>31216000</v>
      </c>
      <c r="J39" s="213">
        <v>27789000</v>
      </c>
      <c r="K39" s="213"/>
      <c r="L39" s="213"/>
      <c r="M39" s="213"/>
      <c r="N39" s="213"/>
      <c r="O39" s="213"/>
      <c r="P39" s="213"/>
      <c r="Q39" s="213">
        <v>33523865840</v>
      </c>
      <c r="R39" s="213">
        <v>42426266686</v>
      </c>
      <c r="S39" s="213"/>
      <c r="T39" s="213">
        <f>406123000+4645000</f>
        <v>410768000</v>
      </c>
      <c r="U39" s="213">
        <f>752278000+4588000</f>
        <v>756866000</v>
      </c>
      <c r="V39" s="213">
        <f>530917000+423000</f>
        <v>531340000</v>
      </c>
      <c r="W39" s="235">
        <v>51637000</v>
      </c>
      <c r="X39" s="236">
        <v>37336000</v>
      </c>
      <c r="Y39" s="236">
        <v>11418000</v>
      </c>
      <c r="Z39" s="213">
        <v>16620090000</v>
      </c>
      <c r="AA39" s="213">
        <v>29282504000</v>
      </c>
      <c r="AB39" s="213">
        <v>43182475000</v>
      </c>
      <c r="AC39" s="213">
        <v>183238387000</v>
      </c>
      <c r="AD39" s="213">
        <v>176566367000</v>
      </c>
      <c r="AE39" s="213">
        <v>103679848000</v>
      </c>
      <c r="AF39" s="213">
        <v>180632000</v>
      </c>
      <c r="AG39" s="213">
        <v>20500000</v>
      </c>
      <c r="AH39" s="213">
        <v>34080000</v>
      </c>
      <c r="AI39" s="213">
        <v>86557076000</v>
      </c>
      <c r="AJ39" s="213">
        <v>119730289000</v>
      </c>
      <c r="AK39" s="213">
        <v>49295468000</v>
      </c>
      <c r="AL39" s="213">
        <v>12431000</v>
      </c>
      <c r="AM39" s="213">
        <v>9985471000</v>
      </c>
      <c r="AN39" s="213">
        <v>9459619000</v>
      </c>
      <c r="AO39" s="213">
        <v>66427798034</v>
      </c>
      <c r="AP39" s="213">
        <v>34348718878</v>
      </c>
      <c r="AQ39" s="213"/>
      <c r="AR39" s="213">
        <v>3923873313</v>
      </c>
      <c r="AS39" s="213">
        <v>2934111862</v>
      </c>
      <c r="AT39" s="213"/>
      <c r="AU39" s="213">
        <v>580171934</v>
      </c>
      <c r="AV39" s="213">
        <v>585032229</v>
      </c>
      <c r="AW39" s="213"/>
      <c r="AX39" s="213">
        <f>(862012+9358896)*1000</f>
        <v>10220908000</v>
      </c>
      <c r="AY39" s="213">
        <f>(10621121+1091916)*1000</f>
        <v>11713037000</v>
      </c>
      <c r="AZ39" s="213">
        <f>501850150+4692217298</f>
        <v>5194067448</v>
      </c>
      <c r="BA39" s="213">
        <f>476820520+1001462985</f>
        <v>1478283505</v>
      </c>
      <c r="BB39" s="213">
        <f>1063283713+2261563398</f>
        <v>3324847111</v>
      </c>
      <c r="BC39" s="213"/>
      <c r="BD39" s="213">
        <f>566377000+2009465000</f>
        <v>2575842000</v>
      </c>
      <c r="BE39" s="213">
        <f>793093000+3291432000</f>
        <v>4084525000</v>
      </c>
      <c r="BF39" s="213">
        <f>420133069+1680367502</f>
        <v>2100500571</v>
      </c>
      <c r="BG39" s="213">
        <f>359299748+176454590</f>
        <v>535754338</v>
      </c>
      <c r="BH39" s="213">
        <f>328638664+395867495</f>
        <v>724506159</v>
      </c>
      <c r="BI39" s="213">
        <f>164587859+69381718</f>
        <v>233969577</v>
      </c>
      <c r="BJ39" s="213">
        <v>12539520987</v>
      </c>
      <c r="BK39" s="213">
        <v>13941672037</v>
      </c>
      <c r="BL39" s="213"/>
      <c r="BM39" s="213">
        <v>6129151574</v>
      </c>
      <c r="BN39" s="213">
        <v>6023339175</v>
      </c>
      <c r="BO39" s="213"/>
      <c r="BP39" s="213"/>
      <c r="BQ39" s="213"/>
      <c r="BR39" s="213"/>
      <c r="BS39" s="213"/>
      <c r="BT39" s="213"/>
      <c r="BU39" s="213"/>
      <c r="BV39" s="213">
        <v>188109207</v>
      </c>
      <c r="BW39" s="213">
        <f>563975432+246994595</f>
        <v>810970027</v>
      </c>
      <c r="BX39" s="213"/>
      <c r="BY39" s="213"/>
      <c r="BZ39" s="213"/>
      <c r="CA39" s="213"/>
      <c r="CB39" s="213">
        <v>497646746000</v>
      </c>
      <c r="CC39" s="213">
        <v>502466287000</v>
      </c>
      <c r="CD39" s="213">
        <v>161856001000</v>
      </c>
      <c r="CE39" s="213"/>
      <c r="CF39" s="213"/>
      <c r="CG39" s="213"/>
      <c r="CH39" s="209">
        <f t="shared" si="63"/>
        <v>923081677732</v>
      </c>
      <c r="CI39" s="209">
        <f t="shared" si="64"/>
        <v>960296453164</v>
      </c>
      <c r="CJ39" s="209">
        <f t="shared" si="64"/>
        <v>375632585596</v>
      </c>
    </row>
    <row r="40" spans="1:88" s="224" customFormat="1" x14ac:dyDescent="0.2">
      <c r="A40" s="223" t="s">
        <v>64</v>
      </c>
      <c r="B40" s="210">
        <f t="shared" ref="B40:AW40" si="65">+B37-B38-B39</f>
        <v>4614580000</v>
      </c>
      <c r="C40" s="210">
        <f t="shared" si="65"/>
        <v>9849555000</v>
      </c>
      <c r="D40" s="210">
        <f t="shared" si="65"/>
        <v>1311785000</v>
      </c>
      <c r="E40" s="210">
        <f t="shared" si="65"/>
        <v>60052517000</v>
      </c>
      <c r="F40" s="210">
        <f t="shared" si="65"/>
        <v>118995896000</v>
      </c>
      <c r="G40" s="210"/>
      <c r="H40" s="210">
        <f t="shared" si="65"/>
        <v>8488412000</v>
      </c>
      <c r="I40" s="210">
        <f t="shared" si="65"/>
        <v>22649143000</v>
      </c>
      <c r="J40" s="210">
        <f t="shared" si="65"/>
        <v>18297955000</v>
      </c>
      <c r="K40" s="210">
        <f t="shared" si="65"/>
        <v>0</v>
      </c>
      <c r="L40" s="210">
        <f t="shared" si="65"/>
        <v>0</v>
      </c>
      <c r="M40" s="210"/>
      <c r="N40" s="210">
        <f t="shared" si="65"/>
        <v>0</v>
      </c>
      <c r="O40" s="210">
        <f t="shared" si="65"/>
        <v>0</v>
      </c>
      <c r="P40" s="210"/>
      <c r="Q40" s="210">
        <f t="shared" si="65"/>
        <v>37840071032</v>
      </c>
      <c r="R40" s="210">
        <f t="shared" si="65"/>
        <v>44919432946</v>
      </c>
      <c r="S40" s="210">
        <f t="shared" si="65"/>
        <v>0</v>
      </c>
      <c r="T40" s="210">
        <f t="shared" si="65"/>
        <v>-102745000</v>
      </c>
      <c r="U40" s="210">
        <f t="shared" si="65"/>
        <v>-412022000</v>
      </c>
      <c r="V40" s="210">
        <f>+V37-V38-V39</f>
        <v>-452969000</v>
      </c>
      <c r="W40" s="210">
        <f t="shared" si="65"/>
        <v>11679837000</v>
      </c>
      <c r="X40" s="225">
        <f t="shared" si="65"/>
        <v>30029423000</v>
      </c>
      <c r="Y40" s="225">
        <f t="shared" si="65"/>
        <v>33248306000</v>
      </c>
      <c r="Z40" s="210">
        <f t="shared" si="65"/>
        <v>-1398832000</v>
      </c>
      <c r="AA40" s="210">
        <f t="shared" si="65"/>
        <v>3825965000</v>
      </c>
      <c r="AB40" s="210">
        <f t="shared" si="65"/>
        <v>9461772000</v>
      </c>
      <c r="AC40" s="210">
        <f t="shared" si="65"/>
        <v>-37845848000</v>
      </c>
      <c r="AD40" s="210">
        <f t="shared" si="65"/>
        <v>-13901801000</v>
      </c>
      <c r="AE40" s="210">
        <f t="shared" si="65"/>
        <v>-19285987000</v>
      </c>
      <c r="AF40" s="210">
        <f t="shared" si="65"/>
        <v>-180632000</v>
      </c>
      <c r="AG40" s="210">
        <f t="shared" si="65"/>
        <v>-20500000</v>
      </c>
      <c r="AH40" s="210">
        <f t="shared" si="65"/>
        <v>-34080000</v>
      </c>
      <c r="AI40" s="210">
        <f t="shared" si="65"/>
        <v>8375730000</v>
      </c>
      <c r="AJ40" s="210">
        <f t="shared" si="65"/>
        <v>50177864000</v>
      </c>
      <c r="AK40" s="210">
        <f t="shared" si="65"/>
        <v>30080110000</v>
      </c>
      <c r="AL40" s="210">
        <f t="shared" si="65"/>
        <v>-12431000</v>
      </c>
      <c r="AM40" s="210">
        <f t="shared" si="65"/>
        <v>-4118766000</v>
      </c>
      <c r="AN40" s="210">
        <f t="shared" si="65"/>
        <v>1346823000</v>
      </c>
      <c r="AO40" s="210">
        <f t="shared" si="65"/>
        <v>13164172756</v>
      </c>
      <c r="AP40" s="210">
        <f t="shared" si="65"/>
        <v>18612370764</v>
      </c>
      <c r="AQ40" s="210"/>
      <c r="AR40" s="210">
        <f t="shared" si="65"/>
        <v>20996906098</v>
      </c>
      <c r="AS40" s="210">
        <f t="shared" si="65"/>
        <v>19080526710</v>
      </c>
      <c r="AT40" s="210"/>
      <c r="AU40" s="210">
        <f t="shared" si="65"/>
        <v>655925314</v>
      </c>
      <c r="AV40" s="210">
        <f t="shared" si="65"/>
        <v>2662443028</v>
      </c>
      <c r="AW40" s="210">
        <f t="shared" si="65"/>
        <v>0</v>
      </c>
      <c r="AX40" s="210">
        <f t="shared" ref="AX40:CI40" si="66">+AX37-AX38-AX39</f>
        <v>58639988000</v>
      </c>
      <c r="AY40" s="210">
        <f t="shared" si="66"/>
        <v>70907997000</v>
      </c>
      <c r="AZ40" s="210">
        <f t="shared" si="66"/>
        <v>33818435648</v>
      </c>
      <c r="BA40" s="210">
        <f t="shared" si="66"/>
        <v>-446432506</v>
      </c>
      <c r="BB40" s="210">
        <f t="shared" si="66"/>
        <v>-3764072398</v>
      </c>
      <c r="BC40" s="210">
        <f t="shared" si="66"/>
        <v>0</v>
      </c>
      <c r="BD40" s="210">
        <f t="shared" si="66"/>
        <v>264214000</v>
      </c>
      <c r="BE40" s="210">
        <f t="shared" si="66"/>
        <v>7231804000</v>
      </c>
      <c r="BF40" s="210">
        <f t="shared" si="66"/>
        <v>3760771092</v>
      </c>
      <c r="BG40" s="210">
        <f t="shared" si="66"/>
        <v>74919231</v>
      </c>
      <c r="BH40" s="210">
        <f t="shared" si="66"/>
        <v>107547170</v>
      </c>
      <c r="BI40" s="210">
        <f t="shared" si="66"/>
        <v>52594470</v>
      </c>
      <c r="BJ40" s="210">
        <f t="shared" si="66"/>
        <v>164791086555</v>
      </c>
      <c r="BK40" s="210">
        <f t="shared" si="66"/>
        <v>179640418818</v>
      </c>
      <c r="BL40" s="210">
        <f>+BL37-BL38-BL39</f>
        <v>0</v>
      </c>
      <c r="BM40" s="210">
        <f t="shared" si="66"/>
        <v>8162328458</v>
      </c>
      <c r="BN40" s="210">
        <f t="shared" si="66"/>
        <v>27550786247</v>
      </c>
      <c r="BO40" s="210"/>
      <c r="BP40" s="210">
        <f t="shared" si="66"/>
        <v>266235375859</v>
      </c>
      <c r="BQ40" s="210">
        <f t="shared" si="66"/>
        <v>260532924662</v>
      </c>
      <c r="BR40" s="210">
        <f>+BR37-BR38-BR39</f>
        <v>0</v>
      </c>
      <c r="BS40" s="210">
        <f t="shared" si="66"/>
        <v>184641157637</v>
      </c>
      <c r="BT40" s="210">
        <f t="shared" si="66"/>
        <v>186703681042</v>
      </c>
      <c r="BU40" s="210">
        <f>+BU37-BU38-BU39</f>
        <v>0</v>
      </c>
      <c r="BV40" s="210">
        <f t="shared" ref="BV40:CD40" si="67">+BV37-BV38-BV39</f>
        <v>-373842077</v>
      </c>
      <c r="BW40" s="210">
        <f t="shared" si="67"/>
        <v>-1864789997</v>
      </c>
      <c r="BX40" s="210"/>
      <c r="BY40" s="210">
        <f t="shared" si="67"/>
        <v>295366537241</v>
      </c>
      <c r="BZ40" s="210">
        <f t="shared" si="67"/>
        <v>296925576162</v>
      </c>
      <c r="CA40" s="210"/>
      <c r="CB40" s="210">
        <f t="shared" si="67"/>
        <v>78126577000</v>
      </c>
      <c r="CC40" s="210">
        <f t="shared" si="67"/>
        <v>141566631000</v>
      </c>
      <c r="CD40" s="210">
        <f t="shared" si="67"/>
        <v>142010254000</v>
      </c>
      <c r="CE40" s="210">
        <f t="shared" ref="CE40:CG40" si="68">+CE37-CE38-CE39</f>
        <v>0</v>
      </c>
      <c r="CF40" s="210">
        <f t="shared" si="68"/>
        <v>0</v>
      </c>
      <c r="CG40" s="210">
        <f t="shared" si="68"/>
        <v>0</v>
      </c>
      <c r="CH40" s="210">
        <f t="shared" si="66"/>
        <v>1181809572598</v>
      </c>
      <c r="CI40" s="210">
        <f t="shared" si="66"/>
        <v>1467888034154</v>
      </c>
      <c r="CJ40" s="210">
        <f t="shared" ref="CJ40" si="69">+CJ37-CJ38-CJ39</f>
        <v>253615770210</v>
      </c>
    </row>
    <row r="41" spans="1:88" x14ac:dyDescent="0.2">
      <c r="A41" s="214" t="s">
        <v>65</v>
      </c>
      <c r="B41" s="213">
        <v>2852000</v>
      </c>
      <c r="C41" s="213"/>
      <c r="D41" s="213">
        <v>1363072000</v>
      </c>
      <c r="E41" s="213">
        <f>735435000+31872024000</f>
        <v>32607459000</v>
      </c>
      <c r="F41" s="213">
        <v>1287703000</v>
      </c>
      <c r="G41" s="213"/>
      <c r="H41" s="213">
        <f>86208000+579093000</f>
        <v>665301000</v>
      </c>
      <c r="I41" s="213">
        <f>190100000+63223000+6639654000</f>
        <v>6892977000</v>
      </c>
      <c r="J41" s="213">
        <v>76171000</v>
      </c>
      <c r="K41" s="213"/>
      <c r="L41" s="213"/>
      <c r="M41" s="213"/>
      <c r="N41" s="213"/>
      <c r="O41" s="213"/>
      <c r="P41" s="213"/>
      <c r="Q41" s="213"/>
      <c r="R41" s="213"/>
      <c r="S41" s="213"/>
      <c r="T41" s="213">
        <v>512046000</v>
      </c>
      <c r="U41" s="213">
        <v>517330000</v>
      </c>
      <c r="V41" s="213">
        <v>18899000</v>
      </c>
      <c r="W41" s="235">
        <f>338254000+23122394000</f>
        <v>23460648000</v>
      </c>
      <c r="X41" s="236">
        <f>856666000+94000</f>
        <v>856760000</v>
      </c>
      <c r="Y41" s="236">
        <f>310265000+65178000+5049452000</f>
        <v>5424895000</v>
      </c>
      <c r="Z41" s="213">
        <f>74900000+870203000</f>
        <v>945103000</v>
      </c>
      <c r="AA41" s="213">
        <v>189274000</v>
      </c>
      <c r="AB41" s="213">
        <f>178769000+1060668000</f>
        <v>1239437000</v>
      </c>
      <c r="AC41" s="213">
        <v>433367000</v>
      </c>
      <c r="AD41" s="213">
        <f>683481000+925108000</f>
        <v>1608589000</v>
      </c>
      <c r="AE41" s="213">
        <f>275275000+10188806000</f>
        <v>10464081000</v>
      </c>
      <c r="AF41" s="213">
        <f>8438000+20047000</f>
        <v>28485000</v>
      </c>
      <c r="AG41" s="213">
        <f>586000+901000+21870000</f>
        <v>23357000</v>
      </c>
      <c r="AH41" s="213">
        <f>12332000+509000</f>
        <v>12841000</v>
      </c>
      <c r="AI41" s="213">
        <v>301472000</v>
      </c>
      <c r="AJ41" s="213">
        <v>361079000</v>
      </c>
      <c r="AK41" s="213">
        <v>239269000</v>
      </c>
      <c r="AL41" s="213">
        <v>42894000</v>
      </c>
      <c r="AM41" s="213">
        <f>59606000+447330000</f>
        <v>506936000</v>
      </c>
      <c r="AN41" s="213">
        <f>51027000+417437000</f>
        <v>468464000</v>
      </c>
      <c r="AO41" s="213"/>
      <c r="AP41" s="213"/>
      <c r="AQ41" s="213"/>
      <c r="AR41" s="213">
        <v>449588212</v>
      </c>
      <c r="AS41" s="213">
        <v>670714564</v>
      </c>
      <c r="AT41" s="213"/>
      <c r="AU41" s="213">
        <v>31271110</v>
      </c>
      <c r="AV41" s="213">
        <v>65082698</v>
      </c>
      <c r="AW41" s="213"/>
      <c r="AX41" s="213">
        <f>(487771+307101)*1000</f>
        <v>794872000</v>
      </c>
      <c r="AY41" s="213">
        <f>(646482+84879)*1000</f>
        <v>731361000</v>
      </c>
      <c r="AZ41" s="213">
        <v>324485718</v>
      </c>
      <c r="BA41" s="213">
        <v>150971831</v>
      </c>
      <c r="BB41" s="213">
        <v>258467427</v>
      </c>
      <c r="BC41" s="213"/>
      <c r="BD41" s="213">
        <f>414368000+61991000</f>
        <v>476359000</v>
      </c>
      <c r="BE41" s="213">
        <f>477965000+222794000</f>
        <v>700759000</v>
      </c>
      <c r="BF41" s="213">
        <f>269232183+55488611</f>
        <v>324720794</v>
      </c>
      <c r="BG41" s="213">
        <f>884379+736078</f>
        <v>1620457</v>
      </c>
      <c r="BH41" s="213">
        <f>5413+1112142</f>
        <v>1117555</v>
      </c>
      <c r="BI41" s="213">
        <v>75282</v>
      </c>
      <c r="BJ41" s="213">
        <v>402315084</v>
      </c>
      <c r="BK41" s="213">
        <v>666970884</v>
      </c>
      <c r="BL41" s="213"/>
      <c r="BM41" s="213">
        <v>279804521</v>
      </c>
      <c r="BN41" s="213">
        <v>244851491</v>
      </c>
      <c r="BO41" s="213"/>
      <c r="BP41" s="213"/>
      <c r="BQ41" s="213"/>
      <c r="BR41" s="213"/>
      <c r="BS41" s="213">
        <v>36147870850</v>
      </c>
      <c r="BT41" s="213">
        <v>39514643845</v>
      </c>
      <c r="BU41" s="213"/>
      <c r="BV41" s="213">
        <v>366772</v>
      </c>
      <c r="BW41" s="213">
        <v>2294393</v>
      </c>
      <c r="BX41" s="213"/>
      <c r="BY41" s="213"/>
      <c r="BZ41" s="213"/>
      <c r="CA41" s="213"/>
      <c r="CB41" s="213">
        <f>5785896000+1612097000</f>
        <v>7397993000</v>
      </c>
      <c r="CC41" s="213">
        <f>12495269000+50006299000+586736000</f>
        <v>63088304000</v>
      </c>
      <c r="CD41" s="213">
        <v>7599207000</v>
      </c>
      <c r="CE41" s="213"/>
      <c r="CF41" s="213"/>
      <c r="CG41" s="213"/>
      <c r="CH41" s="209">
        <f t="shared" ref="CH41:CH42" si="70">+B41+E41+H41+K41+N41+Q41+T41+W41+Z41+AC41+AF41+AI41+AL41+AO41+AR41+AU41+AX41+BA41+BD41+BG41+BJ41+BM41+BP41+BS41+BV41+BY41+CB41</f>
        <v>105132659837</v>
      </c>
      <c r="CI41" s="209">
        <f t="shared" ref="CI41:CJ42" si="71">+C41+F41+I41+L41+O41+R41+U41+X41+AA41+AD41+AG41+AJ41+AM41+AP41+AS41+AV41+AY41+BB41+BE41+BH41+BK41+BN41+BQ41+BT41+BW41+BZ41+CC41</f>
        <v>118188571857</v>
      </c>
      <c r="CJ41" s="209">
        <f t="shared" si="71"/>
        <v>27555617794</v>
      </c>
    </row>
    <row r="42" spans="1:88" x14ac:dyDescent="0.2">
      <c r="A42" s="214" t="s">
        <v>66</v>
      </c>
      <c r="B42" s="213">
        <v>226585000</v>
      </c>
      <c r="C42" s="213">
        <f>1280407000+2696848000</f>
        <v>3977255000</v>
      </c>
      <c r="D42" s="213">
        <v>2033936000</v>
      </c>
      <c r="E42" s="213">
        <f>4483087000+1459143000</f>
        <v>5942230000</v>
      </c>
      <c r="F42" s="213">
        <f>5645086000+2376754000+118459049000</f>
        <v>126480889000</v>
      </c>
      <c r="G42" s="213"/>
      <c r="H42" s="213">
        <f>3335565000+499756000+131036000</f>
        <v>3966357000</v>
      </c>
      <c r="I42" s="213">
        <f>1343200000+207743000</f>
        <v>1550943000</v>
      </c>
      <c r="J42" s="213">
        <f>474256000+82125000+14349972000</f>
        <v>14906353000</v>
      </c>
      <c r="K42" s="213"/>
      <c r="L42" s="213"/>
      <c r="M42" s="213"/>
      <c r="N42" s="213"/>
      <c r="O42" s="213"/>
      <c r="P42" s="213"/>
      <c r="Q42" s="213">
        <v>73248710</v>
      </c>
      <c r="R42" s="213">
        <v>32868956</v>
      </c>
      <c r="S42" s="213"/>
      <c r="T42" s="213">
        <v>1513205000</v>
      </c>
      <c r="U42" s="213">
        <v>3134327000</v>
      </c>
      <c r="V42" s="213">
        <v>2140743000</v>
      </c>
      <c r="W42" s="235">
        <f>1582737000+333088000</f>
        <v>1915825000</v>
      </c>
      <c r="X42" s="236">
        <f>3369886000+453069000+37453787000</f>
        <v>41276742000</v>
      </c>
      <c r="Y42" s="236">
        <f>5555208000+1808655000+293769000</f>
        <v>7657632000</v>
      </c>
      <c r="Z42" s="213">
        <f>7000</f>
        <v>7000</v>
      </c>
      <c r="AA42" s="213">
        <f>1463518000+1435878000</f>
        <v>2899396000</v>
      </c>
      <c r="AB42" s="213">
        <v>272564000</v>
      </c>
      <c r="AC42" s="213">
        <f>1645000+1007080000</f>
        <v>1008725000</v>
      </c>
      <c r="AD42" s="213">
        <v>341000</v>
      </c>
      <c r="AE42" s="213"/>
      <c r="AF42" s="213">
        <f>61916000+89000</f>
        <v>62005000</v>
      </c>
      <c r="AG42" s="213"/>
      <c r="AH42" s="213"/>
      <c r="AI42" s="213">
        <v>2589312000</v>
      </c>
      <c r="AJ42" s="213">
        <v>5208074000</v>
      </c>
      <c r="AK42" s="213">
        <v>1874814000</v>
      </c>
      <c r="AL42" s="213">
        <v>3724000</v>
      </c>
      <c r="AM42" s="213"/>
      <c r="AN42" s="213"/>
      <c r="AO42" s="213">
        <v>5831055787</v>
      </c>
      <c r="AP42" s="213">
        <v>10556176371</v>
      </c>
      <c r="AQ42" s="213"/>
      <c r="AR42" s="213">
        <f>173461802+19964530</f>
        <v>193426332</v>
      </c>
      <c r="AS42" s="213">
        <f>200112205+51142860</f>
        <v>251255065</v>
      </c>
      <c r="AT42" s="213"/>
      <c r="AU42" s="213">
        <v>39655566</v>
      </c>
      <c r="AV42" s="213">
        <v>51045707</v>
      </c>
      <c r="AW42" s="213"/>
      <c r="AX42" s="213">
        <f>(338120+2356001)*1000</f>
        <v>2694121000</v>
      </c>
      <c r="AY42" s="213">
        <f>(566756+3034210+1)*1000</f>
        <v>3600967000</v>
      </c>
      <c r="AZ42" s="213">
        <v>1547940666</v>
      </c>
      <c r="BA42" s="213">
        <v>186109890</v>
      </c>
      <c r="BB42" s="213">
        <v>526359405</v>
      </c>
      <c r="BC42" s="213"/>
      <c r="BD42" s="213">
        <f>26290000+401337000</f>
        <v>427627000</v>
      </c>
      <c r="BE42" s="213">
        <f>41659000+958521000</f>
        <v>1000180000</v>
      </c>
      <c r="BF42" s="213">
        <f>4848081+385268590</f>
        <v>390116671</v>
      </c>
      <c r="BG42" s="213">
        <f>41762148+35927540</f>
        <v>77689688</v>
      </c>
      <c r="BH42" s="213">
        <f>7940069+12039015</f>
        <v>19979084</v>
      </c>
      <c r="BI42" s="213">
        <f>3700448+4560235</f>
        <v>8260683</v>
      </c>
      <c r="BJ42" s="213">
        <v>1127926286</v>
      </c>
      <c r="BK42" s="213">
        <v>1202005544</v>
      </c>
      <c r="BL42" s="213"/>
      <c r="BM42" s="213">
        <v>887790297</v>
      </c>
      <c r="BN42" s="213">
        <v>733927686</v>
      </c>
      <c r="BO42" s="213"/>
      <c r="BP42" s="213">
        <v>945092026</v>
      </c>
      <c r="BQ42" s="213">
        <v>2876880762</v>
      </c>
      <c r="BR42" s="213"/>
      <c r="BS42" s="213">
        <v>1545090165</v>
      </c>
      <c r="BT42" s="213">
        <v>2124178801</v>
      </c>
      <c r="BU42" s="213"/>
      <c r="BV42" s="213">
        <v>34798947</v>
      </c>
      <c r="BW42" s="213">
        <v>27311590</v>
      </c>
      <c r="BX42" s="213"/>
      <c r="BY42" s="213">
        <f>17302154439+1219655454+276844727348</f>
        <v>295366537241</v>
      </c>
      <c r="BZ42" s="213">
        <f>20505132585+2452214793+266848975126</f>
        <v>289806322504</v>
      </c>
      <c r="CA42" s="213"/>
      <c r="CB42" s="213">
        <f>23174668000+279742000</f>
        <v>23454410000</v>
      </c>
      <c r="CC42" s="213">
        <v>299717000</v>
      </c>
      <c r="CD42" s="213">
        <v>11492588000</v>
      </c>
      <c r="CE42" s="213"/>
      <c r="CF42" s="213"/>
      <c r="CG42" s="213"/>
      <c r="CH42" s="209">
        <f t="shared" si="70"/>
        <v>350112553935</v>
      </c>
      <c r="CI42" s="209">
        <f t="shared" si="71"/>
        <v>497637142475</v>
      </c>
      <c r="CJ42" s="209">
        <f t="shared" si="71"/>
        <v>42324948020</v>
      </c>
    </row>
    <row r="43" spans="1:88" s="224" customFormat="1" x14ac:dyDescent="0.2">
      <c r="A43" s="223" t="s">
        <v>67</v>
      </c>
      <c r="B43" s="210">
        <f t="shared" ref="B43:AW43" si="72">+B40+B41-B42</f>
        <v>4390847000</v>
      </c>
      <c r="C43" s="210">
        <f t="shared" si="72"/>
        <v>5872300000</v>
      </c>
      <c r="D43" s="210">
        <f t="shared" si="72"/>
        <v>640921000</v>
      </c>
      <c r="E43" s="210">
        <f t="shared" si="72"/>
        <v>86717746000</v>
      </c>
      <c r="F43" s="210">
        <f t="shared" si="72"/>
        <v>-6197290000</v>
      </c>
      <c r="G43" s="210"/>
      <c r="H43" s="210">
        <f t="shared" si="72"/>
        <v>5187356000</v>
      </c>
      <c r="I43" s="210">
        <f t="shared" si="72"/>
        <v>27991177000</v>
      </c>
      <c r="J43" s="210">
        <f t="shared" si="72"/>
        <v>3467773000</v>
      </c>
      <c r="K43" s="210">
        <f t="shared" si="72"/>
        <v>0</v>
      </c>
      <c r="L43" s="210">
        <f t="shared" si="72"/>
        <v>0</v>
      </c>
      <c r="M43" s="210"/>
      <c r="N43" s="210">
        <f t="shared" si="72"/>
        <v>0</v>
      </c>
      <c r="O43" s="210">
        <f t="shared" si="72"/>
        <v>0</v>
      </c>
      <c r="P43" s="210"/>
      <c r="Q43" s="210">
        <f t="shared" si="72"/>
        <v>37766822322</v>
      </c>
      <c r="R43" s="210">
        <f t="shared" si="72"/>
        <v>44886563990</v>
      </c>
      <c r="S43" s="210">
        <f t="shared" si="72"/>
        <v>0</v>
      </c>
      <c r="T43" s="210">
        <f t="shared" si="72"/>
        <v>-1103904000</v>
      </c>
      <c r="U43" s="210">
        <f t="shared" si="72"/>
        <v>-3029019000</v>
      </c>
      <c r="V43" s="210">
        <f>+V40+V41-V42</f>
        <v>-2574813000</v>
      </c>
      <c r="W43" s="210">
        <f t="shared" si="72"/>
        <v>33224660000</v>
      </c>
      <c r="X43" s="225">
        <f t="shared" si="72"/>
        <v>-10390559000</v>
      </c>
      <c r="Y43" s="225">
        <f t="shared" si="72"/>
        <v>31015569000</v>
      </c>
      <c r="Z43" s="210">
        <f t="shared" si="72"/>
        <v>-453736000</v>
      </c>
      <c r="AA43" s="210">
        <f t="shared" si="72"/>
        <v>1115843000</v>
      </c>
      <c r="AB43" s="210">
        <f t="shared" si="72"/>
        <v>10428645000</v>
      </c>
      <c r="AC43" s="210">
        <f t="shared" si="72"/>
        <v>-38421206000</v>
      </c>
      <c r="AD43" s="210">
        <f t="shared" si="72"/>
        <v>-12293553000</v>
      </c>
      <c r="AE43" s="210">
        <f t="shared" si="72"/>
        <v>-8821906000</v>
      </c>
      <c r="AF43" s="210">
        <f t="shared" si="72"/>
        <v>-214152000</v>
      </c>
      <c r="AG43" s="210">
        <f t="shared" si="72"/>
        <v>2857000</v>
      </c>
      <c r="AH43" s="210">
        <f t="shared" si="72"/>
        <v>-21239000</v>
      </c>
      <c r="AI43" s="210">
        <f t="shared" si="72"/>
        <v>6087890000</v>
      </c>
      <c r="AJ43" s="210">
        <f t="shared" si="72"/>
        <v>45330869000</v>
      </c>
      <c r="AK43" s="210">
        <f t="shared" si="72"/>
        <v>28444565000</v>
      </c>
      <c r="AL43" s="210">
        <f t="shared" si="72"/>
        <v>26739000</v>
      </c>
      <c r="AM43" s="210">
        <f t="shared" si="72"/>
        <v>-3611830000</v>
      </c>
      <c r="AN43" s="210">
        <f t="shared" si="72"/>
        <v>1815287000</v>
      </c>
      <c r="AO43" s="210">
        <f t="shared" si="72"/>
        <v>7333116969</v>
      </c>
      <c r="AP43" s="210">
        <f t="shared" si="72"/>
        <v>8056194393</v>
      </c>
      <c r="AQ43" s="210"/>
      <c r="AR43" s="210">
        <f t="shared" si="72"/>
        <v>21253067978</v>
      </c>
      <c r="AS43" s="210">
        <f t="shared" si="72"/>
        <v>19499986209</v>
      </c>
      <c r="AT43" s="210"/>
      <c r="AU43" s="210">
        <f t="shared" si="72"/>
        <v>647540858</v>
      </c>
      <c r="AV43" s="210">
        <f t="shared" si="72"/>
        <v>2676480019</v>
      </c>
      <c r="AW43" s="210">
        <f t="shared" si="72"/>
        <v>0</v>
      </c>
      <c r="AX43" s="210">
        <f t="shared" ref="AX43:CI43" si="73">+AX40+AX41-AX42</f>
        <v>56740739000</v>
      </c>
      <c r="AY43" s="210">
        <f t="shared" si="73"/>
        <v>68038391000</v>
      </c>
      <c r="AZ43" s="210">
        <f t="shared" si="73"/>
        <v>32594980700</v>
      </c>
      <c r="BA43" s="210">
        <f t="shared" si="73"/>
        <v>-481570565</v>
      </c>
      <c r="BB43" s="210">
        <f t="shared" si="73"/>
        <v>-4031964376</v>
      </c>
      <c r="BC43" s="210">
        <f t="shared" si="73"/>
        <v>0</v>
      </c>
      <c r="BD43" s="210">
        <f t="shared" si="73"/>
        <v>312946000</v>
      </c>
      <c r="BE43" s="210">
        <f t="shared" si="73"/>
        <v>6932383000</v>
      </c>
      <c r="BF43" s="210">
        <f t="shared" si="73"/>
        <v>3695375215</v>
      </c>
      <c r="BG43" s="210">
        <f t="shared" si="73"/>
        <v>-1150000</v>
      </c>
      <c r="BH43" s="210">
        <f t="shared" si="73"/>
        <v>88685641</v>
      </c>
      <c r="BI43" s="210">
        <f t="shared" si="73"/>
        <v>44409069</v>
      </c>
      <c r="BJ43" s="210">
        <f t="shared" si="73"/>
        <v>164065475353</v>
      </c>
      <c r="BK43" s="210">
        <f t="shared" si="73"/>
        <v>179105384158</v>
      </c>
      <c r="BL43" s="210">
        <f>+BL40+BL41-BL42</f>
        <v>0</v>
      </c>
      <c r="BM43" s="210">
        <f t="shared" si="73"/>
        <v>7554342682</v>
      </c>
      <c r="BN43" s="210">
        <f t="shared" si="73"/>
        <v>27061710052</v>
      </c>
      <c r="BO43" s="210"/>
      <c r="BP43" s="210">
        <f t="shared" si="73"/>
        <v>265290283833</v>
      </c>
      <c r="BQ43" s="210">
        <f t="shared" si="73"/>
        <v>257656043900</v>
      </c>
      <c r="BR43" s="210">
        <f>+BR40+BR41-BR42</f>
        <v>0</v>
      </c>
      <c r="BS43" s="210">
        <f t="shared" si="73"/>
        <v>219243938322</v>
      </c>
      <c r="BT43" s="210">
        <f t="shared" si="73"/>
        <v>224094146086</v>
      </c>
      <c r="BU43" s="210">
        <f>+BU40+BU41-BU42</f>
        <v>0</v>
      </c>
      <c r="BV43" s="210">
        <f>+BV40+BV41-BV42</f>
        <v>-408274252</v>
      </c>
      <c r="BW43" s="210">
        <f t="shared" ref="BW43:CD43" si="74">+BW40+BW41-BW42</f>
        <v>-1889807194</v>
      </c>
      <c r="BX43" s="210"/>
      <c r="BY43" s="210">
        <f t="shared" si="74"/>
        <v>0</v>
      </c>
      <c r="BZ43" s="210">
        <f t="shared" si="74"/>
        <v>7119253658</v>
      </c>
      <c r="CA43" s="210"/>
      <c r="CB43" s="210">
        <f t="shared" si="74"/>
        <v>62070160000</v>
      </c>
      <c r="CC43" s="210">
        <f t="shared" si="74"/>
        <v>204355218000</v>
      </c>
      <c r="CD43" s="210">
        <f t="shared" si="74"/>
        <v>138116873000</v>
      </c>
      <c r="CE43" s="210">
        <f t="shared" ref="CE43:CG43" si="75">+CE40+CE41-CE42</f>
        <v>0</v>
      </c>
      <c r="CF43" s="210">
        <f t="shared" si="75"/>
        <v>0</v>
      </c>
      <c r="CG43" s="210">
        <f t="shared" si="75"/>
        <v>0</v>
      </c>
      <c r="CH43" s="210">
        <f t="shared" si="73"/>
        <v>936829678500</v>
      </c>
      <c r="CI43" s="210">
        <f t="shared" si="73"/>
        <v>1088439463536</v>
      </c>
      <c r="CJ43" s="210">
        <f t="shared" ref="CJ43" si="76">+CJ40+CJ41-CJ42</f>
        <v>238846439984</v>
      </c>
    </row>
    <row r="44" spans="1:88" x14ac:dyDescent="0.2">
      <c r="A44" s="214" t="s">
        <v>68</v>
      </c>
      <c r="B44" s="235"/>
      <c r="C44" s="235"/>
      <c r="D44" s="235"/>
      <c r="E44" s="235"/>
      <c r="F44" s="235"/>
      <c r="G44" s="235"/>
      <c r="H44" s="235"/>
      <c r="I44" s="235"/>
      <c r="J44" s="235"/>
      <c r="K44" s="235"/>
      <c r="L44" s="235"/>
      <c r="M44" s="235"/>
      <c r="N44" s="235"/>
      <c r="O44" s="235"/>
      <c r="P44" s="235"/>
      <c r="Q44" s="235"/>
      <c r="R44" s="235"/>
      <c r="S44" s="235"/>
      <c r="T44" s="235"/>
      <c r="U44" s="235"/>
      <c r="V44" s="235"/>
      <c r="W44" s="235"/>
      <c r="X44" s="236"/>
      <c r="Y44" s="236"/>
      <c r="Z44" s="235">
        <v>-473758000</v>
      </c>
      <c r="AA44" s="235">
        <v>-2478155000</v>
      </c>
      <c r="AB44" s="235">
        <v>-3235432000</v>
      </c>
      <c r="AC44" s="235"/>
      <c r="AD44" s="235"/>
      <c r="AE44" s="235"/>
      <c r="AF44" s="235"/>
      <c r="AG44" s="235"/>
      <c r="AH44" s="235"/>
      <c r="AI44" s="235"/>
      <c r="AJ44" s="235">
        <v>-10712147000</v>
      </c>
      <c r="AK44" s="235">
        <v>-2776567000</v>
      </c>
      <c r="AL44" s="235">
        <v>22000</v>
      </c>
      <c r="AM44" s="235"/>
      <c r="AN44" s="235"/>
      <c r="AO44" s="235"/>
      <c r="AP44" s="235"/>
      <c r="AQ44" s="235"/>
      <c r="AR44" s="235"/>
      <c r="AS44" s="235"/>
      <c r="AT44" s="235"/>
      <c r="AU44" s="235"/>
      <c r="AV44" s="235"/>
      <c r="AW44" s="235"/>
      <c r="AX44" s="235"/>
      <c r="AY44" s="235"/>
      <c r="AZ44" s="235"/>
      <c r="BA44" s="235"/>
      <c r="BB44" s="235"/>
      <c r="BC44" s="235"/>
      <c r="BD44" s="235"/>
      <c r="BE44" s="235"/>
      <c r="BF44" s="235"/>
      <c r="BG44" s="235">
        <v>-23093</v>
      </c>
      <c r="BH44" s="235">
        <v>-34071789</v>
      </c>
      <c r="BI44" s="235">
        <v>-17408610</v>
      </c>
      <c r="BJ44" s="235"/>
      <c r="BK44" s="235"/>
      <c r="BL44" s="235"/>
      <c r="BM44" s="235"/>
      <c r="BN44" s="235"/>
      <c r="BO44" s="235"/>
      <c r="BP44" s="235"/>
      <c r="BQ44" s="235"/>
      <c r="BR44" s="235"/>
      <c r="BS44" s="235"/>
      <c r="BT44" s="235"/>
      <c r="BU44" s="235"/>
      <c r="BV44" s="235"/>
      <c r="BW44" s="235"/>
      <c r="BX44" s="235"/>
      <c r="BY44" s="235"/>
      <c r="BZ44" s="235">
        <v>-7119253658</v>
      </c>
      <c r="CA44" s="235"/>
      <c r="CB44" s="235"/>
      <c r="CC44" s="235"/>
      <c r="CD44" s="235"/>
      <c r="CE44" s="235"/>
      <c r="CF44" s="235"/>
      <c r="CG44" s="235"/>
      <c r="CH44" s="209">
        <f t="shared" ref="CH44" si="77">+B44+E44+H44+K44+N44+Q44+T44+W44+Z44+AC44+AF44+AI44+AL44+AO44+AR44+AU44+AX44+BA44+BD44+BG44+BJ44+BM44+BP44+BS44+BV44+BY44+CB44</f>
        <v>-473759093</v>
      </c>
      <c r="CI44" s="209">
        <f t="shared" ref="CI44:CJ44" si="78">+C44+F44+I44+L44+O44+R44+U44+X44+AA44+AD44+AG44+AJ44+AM44+AP44+AS44+AV44+AY44+BB44+BE44+BH44+BK44+BN44+BQ44+BT44+BW44+BZ44+CC44</f>
        <v>-20343627447</v>
      </c>
      <c r="CJ44" s="209">
        <f t="shared" si="78"/>
        <v>-6029407610</v>
      </c>
    </row>
    <row r="45" spans="1:88" s="224" customFormat="1" x14ac:dyDescent="0.2">
      <c r="A45" s="223" t="s">
        <v>69</v>
      </c>
      <c r="B45" s="210">
        <f t="shared" ref="B45:AW45" si="79">+B43+B44</f>
        <v>4390847000</v>
      </c>
      <c r="C45" s="210">
        <f t="shared" si="79"/>
        <v>5872300000</v>
      </c>
      <c r="D45" s="210">
        <f t="shared" si="79"/>
        <v>640921000</v>
      </c>
      <c r="E45" s="210">
        <f t="shared" si="79"/>
        <v>86717746000</v>
      </c>
      <c r="F45" s="210">
        <f t="shared" si="79"/>
        <v>-6197290000</v>
      </c>
      <c r="G45" s="210"/>
      <c r="H45" s="210">
        <f t="shared" si="79"/>
        <v>5187356000</v>
      </c>
      <c r="I45" s="210">
        <f t="shared" si="79"/>
        <v>27991177000</v>
      </c>
      <c r="J45" s="210">
        <f t="shared" si="79"/>
        <v>3467773000</v>
      </c>
      <c r="K45" s="210">
        <f t="shared" si="79"/>
        <v>0</v>
      </c>
      <c r="L45" s="210">
        <f t="shared" si="79"/>
        <v>0</v>
      </c>
      <c r="M45" s="210"/>
      <c r="N45" s="210">
        <f t="shared" si="79"/>
        <v>0</v>
      </c>
      <c r="O45" s="210">
        <f t="shared" si="79"/>
        <v>0</v>
      </c>
      <c r="P45" s="210"/>
      <c r="Q45" s="210">
        <f t="shared" si="79"/>
        <v>37766822322</v>
      </c>
      <c r="R45" s="210">
        <f t="shared" si="79"/>
        <v>44886563990</v>
      </c>
      <c r="S45" s="210">
        <f t="shared" ref="S45" si="80">+S43+S44</f>
        <v>0</v>
      </c>
      <c r="T45" s="210">
        <f t="shared" si="79"/>
        <v>-1103904000</v>
      </c>
      <c r="U45" s="210">
        <f t="shared" si="79"/>
        <v>-3029019000</v>
      </c>
      <c r="V45" s="210">
        <f>+V43+V44</f>
        <v>-2574813000</v>
      </c>
      <c r="W45" s="210">
        <f t="shared" si="79"/>
        <v>33224660000</v>
      </c>
      <c r="X45" s="210">
        <f t="shared" si="79"/>
        <v>-10390559000</v>
      </c>
      <c r="Y45" s="210">
        <f t="shared" si="79"/>
        <v>31015569000</v>
      </c>
      <c r="Z45" s="210">
        <f t="shared" si="79"/>
        <v>-927494000</v>
      </c>
      <c r="AA45" s="210">
        <f t="shared" si="79"/>
        <v>-1362312000</v>
      </c>
      <c r="AB45" s="210">
        <f t="shared" si="79"/>
        <v>7193213000</v>
      </c>
      <c r="AC45" s="210">
        <f t="shared" si="79"/>
        <v>-38421206000</v>
      </c>
      <c r="AD45" s="210">
        <f t="shared" si="79"/>
        <v>-12293553000</v>
      </c>
      <c r="AE45" s="210">
        <f t="shared" si="79"/>
        <v>-8821906000</v>
      </c>
      <c r="AF45" s="210">
        <f t="shared" si="79"/>
        <v>-214152000</v>
      </c>
      <c r="AG45" s="210">
        <f t="shared" si="79"/>
        <v>2857000</v>
      </c>
      <c r="AH45" s="210">
        <f t="shared" si="79"/>
        <v>-21239000</v>
      </c>
      <c r="AI45" s="210">
        <f t="shared" si="79"/>
        <v>6087890000</v>
      </c>
      <c r="AJ45" s="210">
        <f t="shared" si="79"/>
        <v>34618722000</v>
      </c>
      <c r="AK45" s="210">
        <f t="shared" si="79"/>
        <v>25667998000</v>
      </c>
      <c r="AL45" s="210">
        <f t="shared" si="79"/>
        <v>26761000</v>
      </c>
      <c r="AM45" s="210">
        <f t="shared" si="79"/>
        <v>-3611830000</v>
      </c>
      <c r="AN45" s="210">
        <f t="shared" si="79"/>
        <v>1815287000</v>
      </c>
      <c r="AO45" s="210">
        <f t="shared" si="79"/>
        <v>7333116969</v>
      </c>
      <c r="AP45" s="210">
        <f t="shared" si="79"/>
        <v>8056194393</v>
      </c>
      <c r="AQ45" s="210"/>
      <c r="AR45" s="210">
        <f t="shared" si="79"/>
        <v>21253067978</v>
      </c>
      <c r="AS45" s="210">
        <f t="shared" si="79"/>
        <v>19499986209</v>
      </c>
      <c r="AT45" s="210"/>
      <c r="AU45" s="210">
        <f t="shared" si="79"/>
        <v>647540858</v>
      </c>
      <c r="AV45" s="210">
        <f t="shared" si="79"/>
        <v>2676480019</v>
      </c>
      <c r="AW45" s="210">
        <f t="shared" si="79"/>
        <v>0</v>
      </c>
      <c r="AX45" s="210">
        <f t="shared" ref="AX45:CI45" si="81">+AX43+AX44</f>
        <v>56740739000</v>
      </c>
      <c r="AY45" s="210">
        <f t="shared" si="81"/>
        <v>68038391000</v>
      </c>
      <c r="AZ45" s="210">
        <f t="shared" si="81"/>
        <v>32594980700</v>
      </c>
      <c r="BA45" s="210">
        <f t="shared" si="81"/>
        <v>-481570565</v>
      </c>
      <c r="BB45" s="210">
        <f t="shared" si="81"/>
        <v>-4031964376</v>
      </c>
      <c r="BC45" s="210">
        <f t="shared" si="81"/>
        <v>0</v>
      </c>
      <c r="BD45" s="210">
        <f t="shared" si="81"/>
        <v>312946000</v>
      </c>
      <c r="BE45" s="210">
        <f t="shared" si="81"/>
        <v>6932383000</v>
      </c>
      <c r="BF45" s="210">
        <f t="shared" si="81"/>
        <v>3695375215</v>
      </c>
      <c r="BG45" s="210">
        <f t="shared" si="81"/>
        <v>-1173093</v>
      </c>
      <c r="BH45" s="210">
        <f t="shared" si="81"/>
        <v>54613852</v>
      </c>
      <c r="BI45" s="210">
        <f t="shared" si="81"/>
        <v>27000459</v>
      </c>
      <c r="BJ45" s="210">
        <f t="shared" si="81"/>
        <v>164065475353</v>
      </c>
      <c r="BK45" s="210">
        <f t="shared" si="81"/>
        <v>179105384158</v>
      </c>
      <c r="BL45" s="210">
        <f>+BL43+BL44</f>
        <v>0</v>
      </c>
      <c r="BM45" s="210">
        <f t="shared" si="81"/>
        <v>7554342682</v>
      </c>
      <c r="BN45" s="210">
        <f t="shared" si="81"/>
        <v>27061710052</v>
      </c>
      <c r="BO45" s="210"/>
      <c r="BP45" s="210">
        <f t="shared" si="81"/>
        <v>265290283833</v>
      </c>
      <c r="BQ45" s="210">
        <f t="shared" si="81"/>
        <v>257656043900</v>
      </c>
      <c r="BR45" s="210">
        <f>+BR43+BR44</f>
        <v>0</v>
      </c>
      <c r="BS45" s="210">
        <f t="shared" si="81"/>
        <v>219243938322</v>
      </c>
      <c r="BT45" s="210">
        <f t="shared" si="81"/>
        <v>224094146086</v>
      </c>
      <c r="BU45" s="210">
        <f>+BU43+BU44</f>
        <v>0</v>
      </c>
      <c r="BV45" s="210">
        <f t="shared" ref="BV45:CD45" si="82">+BV43+BV44</f>
        <v>-408274252</v>
      </c>
      <c r="BW45" s="210">
        <f t="shared" si="82"/>
        <v>-1889807194</v>
      </c>
      <c r="BX45" s="210"/>
      <c r="BY45" s="210">
        <f t="shared" si="82"/>
        <v>0</v>
      </c>
      <c r="BZ45" s="210">
        <f t="shared" si="82"/>
        <v>0</v>
      </c>
      <c r="CA45" s="210"/>
      <c r="CB45" s="210">
        <f t="shared" si="82"/>
        <v>62070160000</v>
      </c>
      <c r="CC45" s="210">
        <f t="shared" si="82"/>
        <v>204355218000</v>
      </c>
      <c r="CD45" s="210">
        <f t="shared" si="82"/>
        <v>138116873000</v>
      </c>
      <c r="CE45" s="210">
        <f t="shared" ref="CE45:CG45" si="83">+CE43+CE44</f>
        <v>0</v>
      </c>
      <c r="CF45" s="210">
        <f t="shared" si="83"/>
        <v>0</v>
      </c>
      <c r="CG45" s="210">
        <f t="shared" si="83"/>
        <v>0</v>
      </c>
      <c r="CH45" s="210">
        <f t="shared" si="81"/>
        <v>936355919407</v>
      </c>
      <c r="CI45" s="210">
        <f t="shared" si="81"/>
        <v>1068095836089</v>
      </c>
      <c r="CJ45" s="210">
        <f t="shared" ref="CJ45" si="84">+CJ43+CJ44</f>
        <v>232817032374</v>
      </c>
    </row>
    <row r="46" spans="1:88" x14ac:dyDescent="0.2">
      <c r="A46" s="214" t="s">
        <v>98</v>
      </c>
      <c r="B46" s="235"/>
      <c r="C46" s="235"/>
      <c r="D46" s="235">
        <v>-618665000</v>
      </c>
      <c r="E46" s="235">
        <v>190125466000</v>
      </c>
      <c r="F46" s="235">
        <v>-251717575000</v>
      </c>
      <c r="G46" s="235"/>
      <c r="H46" s="235">
        <v>23178179000</v>
      </c>
      <c r="I46" s="235">
        <v>-17522684000</v>
      </c>
      <c r="J46" s="235">
        <v>-5890489000</v>
      </c>
      <c r="K46" s="235"/>
      <c r="L46" s="235"/>
      <c r="M46" s="235"/>
      <c r="N46" s="235"/>
      <c r="O46" s="235"/>
      <c r="P46" s="235"/>
      <c r="Q46" s="235"/>
      <c r="R46" s="235"/>
      <c r="S46" s="235"/>
      <c r="T46" s="235"/>
      <c r="U46" s="235"/>
      <c r="V46" s="235"/>
      <c r="W46" s="235"/>
      <c r="X46" s="236">
        <v>-5636282000</v>
      </c>
      <c r="Y46" s="236">
        <v>3000954000</v>
      </c>
      <c r="Z46" s="235"/>
      <c r="AA46" s="235"/>
      <c r="AB46" s="235">
        <v>-952091000</v>
      </c>
      <c r="AC46" s="235">
        <v>17364040000</v>
      </c>
      <c r="AD46" s="235">
        <v>-17065515000</v>
      </c>
      <c r="AE46" s="235">
        <v>5049635000</v>
      </c>
      <c r="AF46" s="235"/>
      <c r="AG46" s="235"/>
      <c r="AH46" s="235"/>
      <c r="AI46" s="235">
        <v>5690282000</v>
      </c>
      <c r="AJ46" s="235">
        <v>-11286309000</v>
      </c>
      <c r="AK46" s="235">
        <v>-1323256000</v>
      </c>
      <c r="AL46" s="235"/>
      <c r="AM46" s="235"/>
      <c r="AN46" s="235">
        <v>-163561000</v>
      </c>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c r="CH46" s="209">
        <f t="shared" ref="CH46" si="85">+B46+E46+H46+K46+N46+Q46+T46+W46+Z46+AC46+AF46+AI46+AL46+AO46+AR46+AU46+AX46+BA46+BD46+BG46+BJ46+BM46+BP46+BS46+BV46+BY46+CB46</f>
        <v>236357967000</v>
      </c>
      <c r="CI46" s="209">
        <f t="shared" ref="CI46:CJ46" si="86">+C46+F46+I46+L46+O46+R46+U46+X46+AA46+AD46+AG46+AJ46+AM46+AP46+AS46+AV46+AY46+BB46+BE46+BH46+BK46+BN46+BQ46+BT46+BW46+BZ46+CC46</f>
        <v>-303228365000</v>
      </c>
      <c r="CJ46" s="209">
        <f t="shared" si="86"/>
        <v>-897473000</v>
      </c>
    </row>
    <row r="47" spans="1:88" s="224" customFormat="1" x14ac:dyDescent="0.2">
      <c r="A47" s="223" t="s">
        <v>183</v>
      </c>
      <c r="B47" s="210">
        <f t="shared" ref="B47:BI47" si="87">+B45+B46</f>
        <v>4390847000</v>
      </c>
      <c r="C47" s="210">
        <f t="shared" si="87"/>
        <v>5872300000</v>
      </c>
      <c r="D47" s="210">
        <f t="shared" si="87"/>
        <v>22256000</v>
      </c>
      <c r="E47" s="210">
        <f t="shared" si="87"/>
        <v>276843212000</v>
      </c>
      <c r="F47" s="210">
        <f t="shared" si="87"/>
        <v>-257914865000</v>
      </c>
      <c r="G47" s="210"/>
      <c r="H47" s="210">
        <f t="shared" si="87"/>
        <v>28365535000</v>
      </c>
      <c r="I47" s="210">
        <f t="shared" si="87"/>
        <v>10468493000</v>
      </c>
      <c r="J47" s="210">
        <f t="shared" si="87"/>
        <v>-2422716000</v>
      </c>
      <c r="K47" s="210">
        <f t="shared" si="87"/>
        <v>0</v>
      </c>
      <c r="L47" s="210">
        <f t="shared" si="87"/>
        <v>0</v>
      </c>
      <c r="M47" s="210"/>
      <c r="N47" s="210">
        <f t="shared" si="87"/>
        <v>0</v>
      </c>
      <c r="O47" s="210">
        <f t="shared" si="87"/>
        <v>0</v>
      </c>
      <c r="P47" s="210"/>
      <c r="Q47" s="210">
        <f t="shared" si="87"/>
        <v>37766822322</v>
      </c>
      <c r="R47" s="210">
        <f t="shared" si="87"/>
        <v>44886563990</v>
      </c>
      <c r="S47" s="210">
        <f t="shared" ref="S47" si="88">+S45+S46</f>
        <v>0</v>
      </c>
      <c r="T47" s="210">
        <f t="shared" si="87"/>
        <v>-1103904000</v>
      </c>
      <c r="U47" s="210">
        <f t="shared" si="87"/>
        <v>-3029019000</v>
      </c>
      <c r="V47" s="210">
        <f>+V45+V46</f>
        <v>-2574813000</v>
      </c>
      <c r="W47" s="210">
        <f t="shared" si="87"/>
        <v>33224660000</v>
      </c>
      <c r="X47" s="210">
        <f t="shared" si="87"/>
        <v>-16026841000</v>
      </c>
      <c r="Y47" s="210">
        <f t="shared" si="87"/>
        <v>34016523000</v>
      </c>
      <c r="Z47" s="210">
        <f t="shared" si="87"/>
        <v>-927494000</v>
      </c>
      <c r="AA47" s="210">
        <f t="shared" si="87"/>
        <v>-1362312000</v>
      </c>
      <c r="AB47" s="210">
        <f t="shared" si="87"/>
        <v>6241122000</v>
      </c>
      <c r="AC47" s="210">
        <f t="shared" si="87"/>
        <v>-21057166000</v>
      </c>
      <c r="AD47" s="210">
        <f t="shared" si="87"/>
        <v>-29359068000</v>
      </c>
      <c r="AE47" s="210">
        <f t="shared" si="87"/>
        <v>-3772271000</v>
      </c>
      <c r="AF47" s="210">
        <f t="shared" si="87"/>
        <v>-214152000</v>
      </c>
      <c r="AG47" s="210">
        <f t="shared" si="87"/>
        <v>2857000</v>
      </c>
      <c r="AH47" s="210">
        <f t="shared" si="87"/>
        <v>-21239000</v>
      </c>
      <c r="AI47" s="210">
        <f t="shared" si="87"/>
        <v>11778172000</v>
      </c>
      <c r="AJ47" s="210">
        <f t="shared" si="87"/>
        <v>23332413000</v>
      </c>
      <c r="AK47" s="210">
        <f t="shared" si="87"/>
        <v>24344742000</v>
      </c>
      <c r="AL47" s="210">
        <f t="shared" si="87"/>
        <v>26761000</v>
      </c>
      <c r="AM47" s="210">
        <f t="shared" si="87"/>
        <v>-3611830000</v>
      </c>
      <c r="AN47" s="210">
        <f t="shared" si="87"/>
        <v>1651726000</v>
      </c>
      <c r="AO47" s="210">
        <f t="shared" si="87"/>
        <v>7333116969</v>
      </c>
      <c r="AP47" s="210">
        <f t="shared" si="87"/>
        <v>8056194393</v>
      </c>
      <c r="AQ47" s="210"/>
      <c r="AR47" s="210">
        <f t="shared" si="87"/>
        <v>21253067978</v>
      </c>
      <c r="AS47" s="210">
        <f t="shared" si="87"/>
        <v>19499986209</v>
      </c>
      <c r="AT47" s="210"/>
      <c r="AU47" s="210">
        <f t="shared" si="87"/>
        <v>647540858</v>
      </c>
      <c r="AV47" s="210">
        <f t="shared" si="87"/>
        <v>2676480019</v>
      </c>
      <c r="AW47" s="210">
        <f t="shared" si="87"/>
        <v>0</v>
      </c>
      <c r="AX47" s="210">
        <f t="shared" si="87"/>
        <v>56740739000</v>
      </c>
      <c r="AY47" s="210">
        <f t="shared" si="87"/>
        <v>68038391000</v>
      </c>
      <c r="AZ47" s="210">
        <f t="shared" si="87"/>
        <v>32594980700</v>
      </c>
      <c r="BA47" s="210">
        <f t="shared" si="87"/>
        <v>-481570565</v>
      </c>
      <c r="BB47" s="210">
        <f t="shared" si="87"/>
        <v>-4031964376</v>
      </c>
      <c r="BC47" s="210">
        <f t="shared" si="87"/>
        <v>0</v>
      </c>
      <c r="BD47" s="210">
        <f t="shared" si="87"/>
        <v>312946000</v>
      </c>
      <c r="BE47" s="210">
        <f t="shared" si="87"/>
        <v>6932383000</v>
      </c>
      <c r="BF47" s="210">
        <f t="shared" si="87"/>
        <v>3695375215</v>
      </c>
      <c r="BG47" s="210">
        <f t="shared" si="87"/>
        <v>-1173093</v>
      </c>
      <c r="BH47" s="210">
        <f t="shared" si="87"/>
        <v>54613852</v>
      </c>
      <c r="BI47" s="210">
        <f t="shared" si="87"/>
        <v>27000459</v>
      </c>
      <c r="BJ47" s="210"/>
      <c r="BK47" s="210"/>
      <c r="BL47" s="210"/>
      <c r="BM47" s="210"/>
      <c r="BN47" s="210"/>
      <c r="BO47" s="210"/>
      <c r="BP47" s="210"/>
      <c r="BQ47" s="210"/>
      <c r="BR47" s="210"/>
      <c r="BS47" s="210"/>
      <c r="BT47" s="210"/>
      <c r="BU47" s="210"/>
      <c r="BV47" s="210">
        <f t="shared" ref="BV47:CI47" si="89">+BV45+BV46</f>
        <v>-408274252</v>
      </c>
      <c r="BW47" s="210">
        <f t="shared" si="89"/>
        <v>-1889807194</v>
      </c>
      <c r="BX47" s="210"/>
      <c r="BY47" s="210">
        <f t="shared" si="89"/>
        <v>0</v>
      </c>
      <c r="BZ47" s="210">
        <f t="shared" si="89"/>
        <v>0</v>
      </c>
      <c r="CA47" s="210"/>
      <c r="CB47" s="210">
        <f t="shared" si="89"/>
        <v>62070160000</v>
      </c>
      <c r="CC47" s="210">
        <f t="shared" si="89"/>
        <v>204355218000</v>
      </c>
      <c r="CD47" s="210">
        <f t="shared" si="89"/>
        <v>138116873000</v>
      </c>
      <c r="CE47" s="210">
        <f t="shared" ref="CE47:CG47" si="90">+CE45+CE46</f>
        <v>0</v>
      </c>
      <c r="CF47" s="210">
        <f t="shared" si="90"/>
        <v>0</v>
      </c>
      <c r="CG47" s="210">
        <f t="shared" si="90"/>
        <v>0</v>
      </c>
      <c r="CH47" s="210">
        <f t="shared" si="89"/>
        <v>1172713886407</v>
      </c>
      <c r="CI47" s="210">
        <f t="shared" si="89"/>
        <v>764867471089</v>
      </c>
      <c r="CJ47" s="210">
        <f t="shared" ref="CJ47" si="91">+CJ45+CJ46</f>
        <v>231919559374</v>
      </c>
    </row>
    <row r="48" spans="1:88" s="216" customFormat="1" x14ac:dyDescent="0.2">
      <c r="A48" s="238"/>
      <c r="B48" s="240"/>
      <c r="C48" s="240"/>
      <c r="D48" s="240"/>
      <c r="E48" s="240"/>
      <c r="F48" s="240"/>
      <c r="G48" s="240"/>
      <c r="H48" s="240"/>
      <c r="I48" s="240"/>
      <c r="J48" s="240"/>
      <c r="K48" s="240"/>
      <c r="L48" s="240"/>
      <c r="M48" s="240"/>
      <c r="N48" s="240"/>
      <c r="O48" s="240"/>
      <c r="P48" s="240"/>
      <c r="Q48" s="240"/>
      <c r="R48" s="240"/>
      <c r="S48" s="240"/>
      <c r="T48" s="240"/>
      <c r="U48" s="240"/>
      <c r="V48" s="298"/>
      <c r="W48" s="238"/>
      <c r="X48" s="238"/>
      <c r="Y48" s="238"/>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row>
    <row r="49" spans="1:88" s="216" customFormat="1" x14ac:dyDescent="0.2">
      <c r="A49" s="238" t="s">
        <v>99</v>
      </c>
      <c r="B49" s="241">
        <f t="shared" ref="B49:AV49" si="92">+B12-B33</f>
        <v>0</v>
      </c>
      <c r="C49" s="241">
        <f t="shared" si="92"/>
        <v>0</v>
      </c>
      <c r="D49" s="241">
        <f t="shared" ref="D49" si="93">+D12-D33</f>
        <v>0</v>
      </c>
      <c r="E49" s="241">
        <f t="shared" si="92"/>
        <v>0</v>
      </c>
      <c r="F49" s="241">
        <f t="shared" si="92"/>
        <v>0</v>
      </c>
      <c r="G49" s="241">
        <f t="shared" si="92"/>
        <v>0</v>
      </c>
      <c r="H49" s="241">
        <f t="shared" si="92"/>
        <v>0</v>
      </c>
      <c r="I49" s="241">
        <f t="shared" si="92"/>
        <v>0</v>
      </c>
      <c r="J49" s="241">
        <f t="shared" ref="J49" si="94">+J12-J33</f>
        <v>0</v>
      </c>
      <c r="K49" s="241">
        <f t="shared" si="92"/>
        <v>0</v>
      </c>
      <c r="L49" s="241">
        <f t="shared" si="92"/>
        <v>0</v>
      </c>
      <c r="M49" s="241"/>
      <c r="N49" s="241">
        <f t="shared" si="92"/>
        <v>0</v>
      </c>
      <c r="O49" s="241">
        <f t="shared" si="92"/>
        <v>0</v>
      </c>
      <c r="P49" s="241">
        <f t="shared" si="92"/>
        <v>0</v>
      </c>
      <c r="Q49" s="241">
        <f t="shared" si="92"/>
        <v>0</v>
      </c>
      <c r="R49" s="241">
        <f t="shared" si="92"/>
        <v>0</v>
      </c>
      <c r="S49" s="241">
        <f t="shared" ref="S49" si="95">+S12-S33</f>
        <v>0</v>
      </c>
      <c r="T49" s="241">
        <f t="shared" si="92"/>
        <v>0</v>
      </c>
      <c r="U49" s="241">
        <f t="shared" si="92"/>
        <v>0</v>
      </c>
      <c r="V49" s="241">
        <f>+V12-V33</f>
        <v>0</v>
      </c>
      <c r="W49" s="241">
        <f t="shared" si="92"/>
        <v>0</v>
      </c>
      <c r="X49" s="242">
        <f t="shared" si="92"/>
        <v>0</v>
      </c>
      <c r="Y49" s="242">
        <f t="shared" ref="Y49" si="96">+Y12-Y33</f>
        <v>0</v>
      </c>
      <c r="Z49" s="241">
        <f t="shared" si="92"/>
        <v>0</v>
      </c>
      <c r="AA49" s="241">
        <f t="shared" si="92"/>
        <v>0</v>
      </c>
      <c r="AB49" s="241">
        <f t="shared" si="92"/>
        <v>0</v>
      </c>
      <c r="AC49" s="241">
        <f t="shared" si="92"/>
        <v>0</v>
      </c>
      <c r="AD49" s="241">
        <f t="shared" si="92"/>
        <v>0</v>
      </c>
      <c r="AE49" s="241">
        <f t="shared" ref="AE49" si="97">+AE12-AE33</f>
        <v>0</v>
      </c>
      <c r="AF49" s="241">
        <f t="shared" si="92"/>
        <v>0</v>
      </c>
      <c r="AG49" s="241">
        <f t="shared" si="92"/>
        <v>0</v>
      </c>
      <c r="AH49" s="241">
        <f t="shared" si="92"/>
        <v>0</v>
      </c>
      <c r="AI49" s="241">
        <f t="shared" si="92"/>
        <v>0</v>
      </c>
      <c r="AJ49" s="241">
        <f t="shared" si="92"/>
        <v>0</v>
      </c>
      <c r="AK49" s="241">
        <f t="shared" ref="AK49" si="98">+AK12-AK33</f>
        <v>0</v>
      </c>
      <c r="AL49" s="241">
        <f t="shared" si="92"/>
        <v>0</v>
      </c>
      <c r="AM49" s="241">
        <f t="shared" si="92"/>
        <v>0</v>
      </c>
      <c r="AN49" s="241">
        <f t="shared" si="92"/>
        <v>0</v>
      </c>
      <c r="AO49" s="241">
        <f t="shared" si="92"/>
        <v>0</v>
      </c>
      <c r="AP49" s="241">
        <f t="shared" si="92"/>
        <v>0</v>
      </c>
      <c r="AQ49" s="241"/>
      <c r="AR49" s="241">
        <f t="shared" si="92"/>
        <v>0</v>
      </c>
      <c r="AS49" s="241">
        <f t="shared" si="92"/>
        <v>0</v>
      </c>
      <c r="AT49" s="241">
        <f t="shared" ref="AT49" si="99">+AT12-AT33</f>
        <v>0</v>
      </c>
      <c r="AU49" s="241">
        <f t="shared" si="92"/>
        <v>0</v>
      </c>
      <c r="AV49" s="241">
        <f t="shared" si="92"/>
        <v>0</v>
      </c>
      <c r="AW49" s="241">
        <f t="shared" ref="AW49" si="100">+AW12-AW33</f>
        <v>0</v>
      </c>
      <c r="AX49" s="241">
        <f t="shared" ref="AX49:CI49" si="101">+AX12-AX33</f>
        <v>0</v>
      </c>
      <c r="AY49" s="241">
        <f t="shared" si="101"/>
        <v>0</v>
      </c>
      <c r="AZ49" s="241">
        <f t="shared" si="101"/>
        <v>0</v>
      </c>
      <c r="BA49" s="241">
        <f t="shared" si="101"/>
        <v>0</v>
      </c>
      <c r="BB49" s="241">
        <f t="shared" si="101"/>
        <v>0</v>
      </c>
      <c r="BC49" s="241">
        <f t="shared" ref="BC49" si="102">+BC12-BC33</f>
        <v>0</v>
      </c>
      <c r="BD49" s="241">
        <f t="shared" si="101"/>
        <v>0</v>
      </c>
      <c r="BE49" s="241">
        <f t="shared" si="101"/>
        <v>0</v>
      </c>
      <c r="BF49" s="241">
        <f t="shared" ref="BF49" si="103">+BF12-BF33</f>
        <v>0</v>
      </c>
      <c r="BG49" s="241">
        <f t="shared" si="101"/>
        <v>0</v>
      </c>
      <c r="BH49" s="241">
        <f t="shared" si="101"/>
        <v>0</v>
      </c>
      <c r="BI49" s="241">
        <f t="shared" si="101"/>
        <v>0</v>
      </c>
      <c r="BJ49" s="241">
        <f t="shared" si="101"/>
        <v>0</v>
      </c>
      <c r="BK49" s="241">
        <f t="shared" si="101"/>
        <v>0</v>
      </c>
      <c r="BL49" s="241">
        <f>+BL12-BL33</f>
        <v>0</v>
      </c>
      <c r="BM49" s="241">
        <f t="shared" si="101"/>
        <v>0</v>
      </c>
      <c r="BN49" s="241">
        <f t="shared" si="101"/>
        <v>0</v>
      </c>
      <c r="BO49" s="241"/>
      <c r="BP49" s="241">
        <f t="shared" si="101"/>
        <v>0</v>
      </c>
      <c r="BQ49" s="241">
        <f t="shared" si="101"/>
        <v>0</v>
      </c>
      <c r="BR49" s="241">
        <f>+BR12-BR33</f>
        <v>0</v>
      </c>
      <c r="BS49" s="241">
        <f t="shared" si="101"/>
        <v>0</v>
      </c>
      <c r="BT49" s="241">
        <f t="shared" si="101"/>
        <v>0</v>
      </c>
      <c r="BU49" s="241">
        <f>+BU12-BU33</f>
        <v>0</v>
      </c>
      <c r="BV49" s="241">
        <f t="shared" ref="BV49:CC49" si="104">+BV12-BV33</f>
        <v>0</v>
      </c>
      <c r="BW49" s="241">
        <f t="shared" si="104"/>
        <v>0</v>
      </c>
      <c r="BX49" s="241"/>
      <c r="BY49" s="241">
        <f t="shared" si="104"/>
        <v>0</v>
      </c>
      <c r="BZ49" s="241">
        <f t="shared" si="104"/>
        <v>0</v>
      </c>
      <c r="CA49" s="241">
        <f t="shared" ref="CA49" si="105">+CA12-CA33</f>
        <v>0</v>
      </c>
      <c r="CB49" s="241">
        <f t="shared" si="104"/>
        <v>0</v>
      </c>
      <c r="CC49" s="241">
        <f t="shared" si="104"/>
        <v>0</v>
      </c>
      <c r="CD49" s="241">
        <f t="shared" ref="CD49:CF49" si="106">+CD12-CD33</f>
        <v>0</v>
      </c>
      <c r="CE49" s="241">
        <f t="shared" si="106"/>
        <v>0</v>
      </c>
      <c r="CF49" s="241">
        <f t="shared" si="106"/>
        <v>0</v>
      </c>
      <c r="CG49" s="241">
        <f t="shared" ref="CG49" si="107">+CG12-CG33</f>
        <v>0</v>
      </c>
      <c r="CH49" s="241">
        <f t="shared" si="101"/>
        <v>0</v>
      </c>
      <c r="CI49" s="241">
        <f t="shared" si="101"/>
        <v>0</v>
      </c>
      <c r="CJ49" s="241">
        <f t="shared" ref="CJ49" si="108">+CJ12-CJ33</f>
        <v>0</v>
      </c>
    </row>
    <row r="50" spans="1:88" s="216" customFormat="1" x14ac:dyDescent="0.2">
      <c r="A50" s="238" t="s">
        <v>100</v>
      </c>
      <c r="B50" s="241">
        <v>4390847000</v>
      </c>
      <c r="C50" s="241">
        <v>5872300000</v>
      </c>
      <c r="D50" s="241">
        <v>640921000</v>
      </c>
      <c r="E50" s="241">
        <v>86717746000</v>
      </c>
      <c r="F50" s="241">
        <v>-6197290000</v>
      </c>
      <c r="G50" s="241"/>
      <c r="H50" s="241">
        <v>5187356000</v>
      </c>
      <c r="I50" s="241">
        <v>27991177000</v>
      </c>
      <c r="J50" s="241">
        <v>3467773000</v>
      </c>
      <c r="K50" s="241">
        <v>0</v>
      </c>
      <c r="L50" s="241">
        <v>0</v>
      </c>
      <c r="M50" s="241"/>
      <c r="N50" s="241">
        <v>0</v>
      </c>
      <c r="O50" s="241">
        <v>0</v>
      </c>
      <c r="P50" s="241">
        <v>0</v>
      </c>
      <c r="Q50" s="241">
        <v>37766822322</v>
      </c>
      <c r="R50" s="241">
        <v>44886563990</v>
      </c>
      <c r="S50" s="241"/>
      <c r="T50" s="241">
        <v>-1103904000</v>
      </c>
      <c r="U50" s="241">
        <v>-3029019000</v>
      </c>
      <c r="V50" s="241">
        <v>-2574813000</v>
      </c>
      <c r="W50" s="241">
        <v>33224660000</v>
      </c>
      <c r="X50" s="242">
        <v>-10390559000</v>
      </c>
      <c r="Y50" s="242">
        <v>31015569000</v>
      </c>
      <c r="Z50" s="241">
        <v>-927494000</v>
      </c>
      <c r="AA50" s="241">
        <v>-1362312000</v>
      </c>
      <c r="AB50" s="241">
        <v>7193213000</v>
      </c>
      <c r="AC50" s="241">
        <v>-38421206000</v>
      </c>
      <c r="AD50" s="241">
        <v>-12293553000</v>
      </c>
      <c r="AE50" s="241">
        <v>-8821906000</v>
      </c>
      <c r="AF50" s="241">
        <v>-214152000</v>
      </c>
      <c r="AG50" s="241">
        <v>2857000</v>
      </c>
      <c r="AH50" s="241">
        <v>-21239000</v>
      </c>
      <c r="AI50" s="241">
        <v>6087890000</v>
      </c>
      <c r="AJ50" s="241">
        <v>34618722000</v>
      </c>
      <c r="AK50" s="241">
        <v>25667998000</v>
      </c>
      <c r="AL50" s="241">
        <v>26761000</v>
      </c>
      <c r="AM50" s="241">
        <v>-3611830000</v>
      </c>
      <c r="AN50" s="241">
        <v>1815287000</v>
      </c>
      <c r="AO50" s="241">
        <v>7333116969</v>
      </c>
      <c r="AP50" s="241">
        <v>8056194393</v>
      </c>
      <c r="AQ50" s="241"/>
      <c r="AR50" s="241">
        <v>21253067978</v>
      </c>
      <c r="AS50" s="241">
        <v>19499986209</v>
      </c>
      <c r="AT50" s="241"/>
      <c r="AU50" s="241">
        <v>647540858</v>
      </c>
      <c r="AV50" s="241">
        <v>2676480019</v>
      </c>
      <c r="AW50" s="241"/>
      <c r="AX50" s="241">
        <v>56740739000</v>
      </c>
      <c r="AY50" s="241">
        <v>68038391000</v>
      </c>
      <c r="AZ50" s="241">
        <v>32594980700</v>
      </c>
      <c r="BA50" s="241">
        <v>-481570565</v>
      </c>
      <c r="BB50" s="241">
        <v>-4031964376</v>
      </c>
      <c r="BC50" s="241"/>
      <c r="BD50" s="241">
        <v>312946000</v>
      </c>
      <c r="BE50" s="241">
        <v>6932383000</v>
      </c>
      <c r="BF50" s="241">
        <v>3695375215</v>
      </c>
      <c r="BG50" s="241">
        <v>-1173093</v>
      </c>
      <c r="BH50" s="241">
        <v>54613852</v>
      </c>
      <c r="BI50" s="241">
        <v>27000459</v>
      </c>
      <c r="BJ50" s="241">
        <v>164065475353</v>
      </c>
      <c r="BK50" s="241">
        <v>179105384158</v>
      </c>
      <c r="BL50" s="241"/>
      <c r="BM50" s="241">
        <v>7554342682</v>
      </c>
      <c r="BN50" s="241">
        <v>27061710052</v>
      </c>
      <c r="BO50" s="241"/>
      <c r="BP50" s="241">
        <v>265290283833</v>
      </c>
      <c r="BQ50" s="241">
        <v>257656043900</v>
      </c>
      <c r="BR50" s="241"/>
      <c r="BS50" s="241">
        <v>219243938322</v>
      </c>
      <c r="BT50" s="241">
        <v>224094146086</v>
      </c>
      <c r="BU50" s="241"/>
      <c r="BV50" s="241">
        <v>-408274252</v>
      </c>
      <c r="BW50" s="241">
        <v>-1889807194</v>
      </c>
      <c r="BX50" s="241"/>
      <c r="BY50" s="241">
        <v>0</v>
      </c>
      <c r="BZ50" s="241">
        <v>0</v>
      </c>
      <c r="CA50" s="241">
        <v>0</v>
      </c>
      <c r="CB50" s="241">
        <v>62070160000</v>
      </c>
      <c r="CC50" s="241">
        <v>204355218000</v>
      </c>
      <c r="CD50" s="241">
        <v>138116873000</v>
      </c>
      <c r="CE50" s="241"/>
      <c r="CF50" s="241"/>
      <c r="CG50" s="241"/>
      <c r="CH50" s="241">
        <v>936355919407</v>
      </c>
      <c r="CI50" s="241">
        <v>1068095836089</v>
      </c>
      <c r="CJ50" s="241">
        <v>232817032374</v>
      </c>
    </row>
    <row r="51" spans="1:88" s="216" customFormat="1" x14ac:dyDescent="0.2">
      <c r="A51" s="238" t="s">
        <v>101</v>
      </c>
      <c r="B51" s="241">
        <f t="shared" ref="B51:AV51" si="109">+B45-B50</f>
        <v>0</v>
      </c>
      <c r="C51" s="241">
        <f t="shared" si="109"/>
        <v>0</v>
      </c>
      <c r="D51" s="241">
        <f t="shared" ref="D51" si="110">+D45-D50</f>
        <v>0</v>
      </c>
      <c r="E51" s="241">
        <f t="shared" si="109"/>
        <v>0</v>
      </c>
      <c r="F51" s="241">
        <f t="shared" si="109"/>
        <v>0</v>
      </c>
      <c r="G51" s="241">
        <f t="shared" si="109"/>
        <v>0</v>
      </c>
      <c r="H51" s="241">
        <f t="shared" si="109"/>
        <v>0</v>
      </c>
      <c r="I51" s="241">
        <f t="shared" si="109"/>
        <v>0</v>
      </c>
      <c r="J51" s="241">
        <f t="shared" ref="J51" si="111">+J45-J50</f>
        <v>0</v>
      </c>
      <c r="K51" s="241">
        <f t="shared" si="109"/>
        <v>0</v>
      </c>
      <c r="L51" s="241">
        <f t="shared" si="109"/>
        <v>0</v>
      </c>
      <c r="M51" s="241"/>
      <c r="N51" s="241">
        <f t="shared" si="109"/>
        <v>0</v>
      </c>
      <c r="O51" s="241">
        <f t="shared" si="109"/>
        <v>0</v>
      </c>
      <c r="P51" s="241">
        <f t="shared" si="109"/>
        <v>0</v>
      </c>
      <c r="Q51" s="241">
        <f t="shared" si="109"/>
        <v>0</v>
      </c>
      <c r="R51" s="241">
        <f t="shared" si="109"/>
        <v>0</v>
      </c>
      <c r="S51" s="241">
        <f t="shared" si="109"/>
        <v>0</v>
      </c>
      <c r="T51" s="241">
        <f t="shared" si="109"/>
        <v>0</v>
      </c>
      <c r="U51" s="241">
        <f t="shared" si="109"/>
        <v>0</v>
      </c>
      <c r="V51" s="241">
        <f>+V45-V50</f>
        <v>0</v>
      </c>
      <c r="W51" s="241">
        <f t="shared" si="109"/>
        <v>0</v>
      </c>
      <c r="X51" s="242">
        <f t="shared" si="109"/>
        <v>0</v>
      </c>
      <c r="Y51" s="242">
        <f t="shared" ref="Y51" si="112">+Y45-Y50</f>
        <v>0</v>
      </c>
      <c r="Z51" s="241">
        <f t="shared" si="109"/>
        <v>0</v>
      </c>
      <c r="AA51" s="241">
        <f t="shared" si="109"/>
        <v>0</v>
      </c>
      <c r="AB51" s="241">
        <f t="shared" si="109"/>
        <v>0</v>
      </c>
      <c r="AC51" s="241">
        <f t="shared" si="109"/>
        <v>0</v>
      </c>
      <c r="AD51" s="241">
        <f t="shared" si="109"/>
        <v>0</v>
      </c>
      <c r="AE51" s="241">
        <f t="shared" ref="AE51" si="113">+AE45-AE50</f>
        <v>0</v>
      </c>
      <c r="AF51" s="241">
        <f t="shared" si="109"/>
        <v>0</v>
      </c>
      <c r="AG51" s="241">
        <f t="shared" si="109"/>
        <v>0</v>
      </c>
      <c r="AH51" s="241">
        <f t="shared" si="109"/>
        <v>0</v>
      </c>
      <c r="AI51" s="241">
        <f t="shared" si="109"/>
        <v>0</v>
      </c>
      <c r="AJ51" s="241">
        <f t="shared" si="109"/>
        <v>0</v>
      </c>
      <c r="AK51" s="241">
        <f t="shared" ref="AK51" si="114">+AK45-AK50</f>
        <v>0</v>
      </c>
      <c r="AL51" s="241">
        <f t="shared" si="109"/>
        <v>0</v>
      </c>
      <c r="AM51" s="241">
        <f t="shared" si="109"/>
        <v>0</v>
      </c>
      <c r="AN51" s="241">
        <f t="shared" si="109"/>
        <v>0</v>
      </c>
      <c r="AO51" s="241">
        <f t="shared" si="109"/>
        <v>0</v>
      </c>
      <c r="AP51" s="241">
        <f t="shared" si="109"/>
        <v>0</v>
      </c>
      <c r="AQ51" s="241"/>
      <c r="AR51" s="241">
        <f t="shared" si="109"/>
        <v>0</v>
      </c>
      <c r="AS51" s="241">
        <f t="shared" si="109"/>
        <v>0</v>
      </c>
      <c r="AT51" s="241">
        <f t="shared" ref="AT51" si="115">+AT45-AT50</f>
        <v>0</v>
      </c>
      <c r="AU51" s="241">
        <f t="shared" si="109"/>
        <v>0</v>
      </c>
      <c r="AV51" s="241">
        <f t="shared" si="109"/>
        <v>0</v>
      </c>
      <c r="AW51" s="241">
        <f t="shared" ref="AW51" si="116">+AW45-AW50</f>
        <v>0</v>
      </c>
      <c r="AX51" s="241">
        <f t="shared" ref="AX51:CI51" si="117">+AX45-AX50</f>
        <v>0</v>
      </c>
      <c r="AY51" s="241">
        <f t="shared" si="117"/>
        <v>0</v>
      </c>
      <c r="AZ51" s="241">
        <f t="shared" si="117"/>
        <v>0</v>
      </c>
      <c r="BA51" s="241">
        <f t="shared" si="117"/>
        <v>0</v>
      </c>
      <c r="BB51" s="241">
        <f t="shared" si="117"/>
        <v>0</v>
      </c>
      <c r="BC51" s="241">
        <f t="shared" ref="BC51" si="118">+BC45-BC50</f>
        <v>0</v>
      </c>
      <c r="BD51" s="241">
        <f t="shared" si="117"/>
        <v>0</v>
      </c>
      <c r="BE51" s="241">
        <f t="shared" si="117"/>
        <v>0</v>
      </c>
      <c r="BF51" s="241">
        <f t="shared" ref="BF51" si="119">+BF45-BF50</f>
        <v>0</v>
      </c>
      <c r="BG51" s="241">
        <f t="shared" si="117"/>
        <v>0</v>
      </c>
      <c r="BH51" s="241">
        <f t="shared" si="117"/>
        <v>0</v>
      </c>
      <c r="BI51" s="241">
        <f t="shared" si="117"/>
        <v>0</v>
      </c>
      <c r="BJ51" s="241">
        <f t="shared" si="117"/>
        <v>0</v>
      </c>
      <c r="BK51" s="241">
        <f t="shared" si="117"/>
        <v>0</v>
      </c>
      <c r="BL51" s="241">
        <f>+BL45-BL50</f>
        <v>0</v>
      </c>
      <c r="BM51" s="241">
        <f t="shared" si="117"/>
        <v>0</v>
      </c>
      <c r="BN51" s="241">
        <f t="shared" si="117"/>
        <v>0</v>
      </c>
      <c r="BO51" s="241"/>
      <c r="BP51" s="241">
        <f t="shared" si="117"/>
        <v>0</v>
      </c>
      <c r="BQ51" s="241">
        <f t="shared" si="117"/>
        <v>0</v>
      </c>
      <c r="BR51" s="241">
        <f>+BR45-BR50</f>
        <v>0</v>
      </c>
      <c r="BS51" s="241">
        <f t="shared" si="117"/>
        <v>0</v>
      </c>
      <c r="BT51" s="241">
        <f t="shared" si="117"/>
        <v>0</v>
      </c>
      <c r="BU51" s="241">
        <f>+BU45-BU50</f>
        <v>0</v>
      </c>
      <c r="BV51" s="241">
        <f t="shared" ref="BV51:CC51" si="120">+BV45-BV50</f>
        <v>0</v>
      </c>
      <c r="BW51" s="241">
        <f t="shared" si="120"/>
        <v>0</v>
      </c>
      <c r="BX51" s="241"/>
      <c r="BY51" s="241">
        <f t="shared" si="120"/>
        <v>0</v>
      </c>
      <c r="BZ51" s="241">
        <f t="shared" si="120"/>
        <v>0</v>
      </c>
      <c r="CA51" s="241">
        <f t="shared" ref="CA51" si="121">+CA45-CA50</f>
        <v>0</v>
      </c>
      <c r="CB51" s="241">
        <f t="shared" si="120"/>
        <v>0</v>
      </c>
      <c r="CC51" s="241">
        <f t="shared" si="120"/>
        <v>0</v>
      </c>
      <c r="CD51" s="241">
        <f t="shared" ref="CD51:CF51" si="122">+CD45-CD50</f>
        <v>0</v>
      </c>
      <c r="CE51" s="241">
        <f t="shared" si="122"/>
        <v>0</v>
      </c>
      <c r="CF51" s="241">
        <f t="shared" si="122"/>
        <v>0</v>
      </c>
      <c r="CG51" s="241">
        <f t="shared" ref="CG51" si="123">+CG45-CG50</f>
        <v>0</v>
      </c>
      <c r="CH51" s="241">
        <f t="shared" si="117"/>
        <v>0</v>
      </c>
      <c r="CI51" s="241">
        <f t="shared" si="117"/>
        <v>0</v>
      </c>
      <c r="CJ51" s="241">
        <f t="shared" ref="CJ51" si="124">+CJ45-CJ50</f>
        <v>0</v>
      </c>
    </row>
    <row r="53" spans="1:88" s="238" customFormat="1" x14ac:dyDescent="0.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c r="CA53" s="232"/>
      <c r="CB53" s="232"/>
      <c r="CC53" s="232"/>
      <c r="CD53" s="232"/>
      <c r="CE53" s="232"/>
      <c r="CF53" s="232"/>
      <c r="CG53" s="232"/>
      <c r="CH53" s="232"/>
      <c r="CI53" s="232"/>
      <c r="CJ53" s="232"/>
    </row>
    <row r="54" spans="1:88" s="238" customFormat="1" x14ac:dyDescent="0.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c r="BX54" s="232"/>
      <c r="BY54" s="232"/>
      <c r="BZ54" s="232"/>
      <c r="CA54" s="232"/>
      <c r="CB54" s="232"/>
      <c r="CC54" s="232"/>
      <c r="CD54" s="232"/>
      <c r="CE54" s="232"/>
      <c r="CF54" s="232"/>
      <c r="CG54" s="232"/>
      <c r="CH54" s="232"/>
      <c r="CI54" s="232"/>
      <c r="CJ54" s="232"/>
    </row>
    <row r="55" spans="1:88" ht="15" x14ac:dyDescent="0.2">
      <c r="A55" s="306" t="s">
        <v>196</v>
      </c>
    </row>
    <row r="57" spans="1:88" x14ac:dyDescent="0.2">
      <c r="A57" s="207" t="s">
        <v>105</v>
      </c>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row>
    <row r="58" spans="1:88" ht="24" x14ac:dyDescent="0.2">
      <c r="A58" s="249" t="s">
        <v>195</v>
      </c>
      <c r="B58" s="206">
        <f t="shared" ref="B58:AV58" si="125">IFERROR(B10/B14,0)</f>
        <v>1.3046449242462377</v>
      </c>
      <c r="C58" s="206">
        <f t="shared" si="125"/>
        <v>1.2387722451612833</v>
      </c>
      <c r="D58" s="206">
        <f t="shared" ref="D58" si="126">IFERROR(D10/D14,0)</f>
        <v>1.3292407575200424</v>
      </c>
      <c r="E58" s="206">
        <f t="shared" si="125"/>
        <v>1.8358458555517836</v>
      </c>
      <c r="F58" s="206">
        <f t="shared" si="125"/>
        <v>1.8611606106233112</v>
      </c>
      <c r="G58" s="206">
        <f t="shared" si="125"/>
        <v>1.9118862415968356</v>
      </c>
      <c r="H58" s="206">
        <f t="shared" si="125"/>
        <v>1.5181395908305655</v>
      </c>
      <c r="I58" s="206">
        <f t="shared" si="125"/>
        <v>1.6950982537842871</v>
      </c>
      <c r="J58" s="206">
        <f t="shared" ref="J58" si="127">IFERROR(J10/J14,0)</f>
        <v>1.7860051501271563</v>
      </c>
      <c r="K58" s="206">
        <f t="shared" si="125"/>
        <v>1.0867000323160871</v>
      </c>
      <c r="L58" s="206">
        <f t="shared" si="125"/>
        <v>1.0992497578182197</v>
      </c>
      <c r="M58" s="206">
        <f t="shared" si="125"/>
        <v>0</v>
      </c>
      <c r="N58" s="206">
        <f t="shared" si="125"/>
        <v>1.0060365219639358</v>
      </c>
      <c r="O58" s="206">
        <f t="shared" si="125"/>
        <v>2.5648793658071858</v>
      </c>
      <c r="P58" s="206">
        <f t="shared" ref="P58" si="128">IFERROR(P10/P14,0)</f>
        <v>2.427740425497285</v>
      </c>
      <c r="Q58" s="206">
        <f t="shared" si="125"/>
        <v>1.001199276610752</v>
      </c>
      <c r="R58" s="206">
        <f t="shared" si="125"/>
        <v>1.0010397169682923</v>
      </c>
      <c r="S58" s="206">
        <f t="shared" ref="S58" si="129">IFERROR(S10/S14,0)</f>
        <v>1.0007097688992601</v>
      </c>
      <c r="T58" s="206">
        <f t="shared" si="125"/>
        <v>2.1551850009223492</v>
      </c>
      <c r="U58" s="206">
        <f t="shared" si="125"/>
        <v>6.001726792854563</v>
      </c>
      <c r="V58" s="206">
        <f t="shared" si="125"/>
        <v>1.4706582256087544</v>
      </c>
      <c r="W58" s="206">
        <f t="shared" si="125"/>
        <v>1.415374276652299</v>
      </c>
      <c r="X58" s="206">
        <f t="shared" si="125"/>
        <v>1.4106013782492977</v>
      </c>
      <c r="Y58" s="206">
        <f t="shared" ref="Y58" si="130">IFERROR(Y10/Y14,0)</f>
        <v>1.4752711507100391</v>
      </c>
      <c r="Z58" s="206">
        <f t="shared" si="125"/>
        <v>0.22527710496225861</v>
      </c>
      <c r="AA58" s="206">
        <f t="shared" si="125"/>
        <v>0.12712711336603311</v>
      </c>
      <c r="AB58" s="206">
        <f t="shared" ref="AB58" si="131">IFERROR(AB10/AB14,0)</f>
        <v>0.71416913316829855</v>
      </c>
      <c r="AC58" s="206">
        <f t="shared" si="125"/>
        <v>2.3536613723377027</v>
      </c>
      <c r="AD58" s="206">
        <f t="shared" si="125"/>
        <v>4.9976636576165054</v>
      </c>
      <c r="AE58" s="206">
        <f t="shared" ref="AE58" si="132">IFERROR(AE10/AE14,0)</f>
        <v>3.27682429721466</v>
      </c>
      <c r="AF58" s="206">
        <f t="shared" si="125"/>
        <v>0.12959994800106953</v>
      </c>
      <c r="AG58" s="206">
        <f t="shared" si="125"/>
        <v>0.13021531721905913</v>
      </c>
      <c r="AH58" s="206">
        <f t="shared" ref="AH58" si="133">IFERROR(AH10/AH14,0)</f>
        <v>0.10068466983980702</v>
      </c>
      <c r="AI58" s="206">
        <f t="shared" si="125"/>
        <v>1.9386639349742363</v>
      </c>
      <c r="AJ58" s="206">
        <f t="shared" si="125"/>
        <v>1.7121752652629225</v>
      </c>
      <c r="AK58" s="206">
        <f t="shared" ref="AK58" si="134">IFERROR(AK10/AK14,0)</f>
        <v>2.0592868083504912</v>
      </c>
      <c r="AL58" s="206">
        <f t="shared" si="125"/>
        <v>0.53921327004061159</v>
      </c>
      <c r="AM58" s="206">
        <f t="shared" si="125"/>
        <v>0.50572174130153025</v>
      </c>
      <c r="AN58" s="206">
        <f t="shared" ref="AN58" si="135">IFERROR(AN10/AN14,0)</f>
        <v>0.85216331780699572</v>
      </c>
      <c r="AO58" s="206">
        <f t="shared" si="125"/>
        <v>1.5935310538152172</v>
      </c>
      <c r="AP58" s="206">
        <f t="shared" si="125"/>
        <v>1.7134029156807355</v>
      </c>
      <c r="AQ58" s="206">
        <f t="shared" ref="AQ58" si="136">IFERROR(AQ10/AQ14,0)</f>
        <v>0</v>
      </c>
      <c r="AR58" s="206">
        <f t="shared" si="125"/>
        <v>14.47678060919354</v>
      </c>
      <c r="AS58" s="206">
        <f t="shared" si="125"/>
        <v>15.157009994384833</v>
      </c>
      <c r="AT58" s="206">
        <f t="shared" ref="AT58" si="137">IFERROR(AT10/AT14,0)</f>
        <v>6.4283473601004477</v>
      </c>
      <c r="AU58" s="206">
        <f t="shared" si="125"/>
        <v>6.8735955468941912</v>
      </c>
      <c r="AV58" s="206">
        <f t="shared" si="125"/>
        <v>17.440448561277822</v>
      </c>
      <c r="AW58" s="206">
        <f t="shared" ref="AW58" si="138">IFERROR(AW10/AW14,0)</f>
        <v>-176.93938010161651</v>
      </c>
      <c r="AX58" s="206">
        <f t="shared" ref="AX58:CI58" si="139">IFERROR(AX10/AX14,0)</f>
        <v>2.9097554377233696</v>
      </c>
      <c r="AY58" s="206">
        <f t="shared" si="139"/>
        <v>4.8918959091582197</v>
      </c>
      <c r="AZ58" s="206">
        <f t="shared" si="139"/>
        <v>2.1965954357974895</v>
      </c>
      <c r="BA58" s="206">
        <f t="shared" si="139"/>
        <v>3.4739873166356068</v>
      </c>
      <c r="BB58" s="206">
        <f t="shared" si="139"/>
        <v>4.2971094962306084</v>
      </c>
      <c r="BC58" s="206">
        <f t="shared" si="139"/>
        <v>3.2694808001681062</v>
      </c>
      <c r="BD58" s="206">
        <f t="shared" si="139"/>
        <v>3.1552620780698954</v>
      </c>
      <c r="BE58" s="206">
        <f t="shared" si="139"/>
        <v>2.5217003396742981</v>
      </c>
      <c r="BF58" s="206">
        <f t="shared" si="139"/>
        <v>1.2780261502985426</v>
      </c>
      <c r="BG58" s="206">
        <f t="shared" si="139"/>
        <v>0.84586199467497747</v>
      </c>
      <c r="BH58" s="206">
        <f t="shared" si="139"/>
        <v>0.94643184527829682</v>
      </c>
      <c r="BI58" s="206">
        <f t="shared" si="139"/>
        <v>1.0415258427640648</v>
      </c>
      <c r="BJ58" s="206">
        <f t="shared" si="139"/>
        <v>1.841943400172801</v>
      </c>
      <c r="BK58" s="206">
        <f t="shared" si="139"/>
        <v>1.7136748895095442</v>
      </c>
      <c r="BL58" s="206">
        <f t="shared" si="139"/>
        <v>1.0551424077511025</v>
      </c>
      <c r="BM58" s="206">
        <f t="shared" si="139"/>
        <v>6.0444440888504865</v>
      </c>
      <c r="BN58" s="206">
        <f t="shared" si="139"/>
        <v>8.2678092101369582</v>
      </c>
      <c r="BO58" s="206">
        <f t="shared" si="139"/>
        <v>0</v>
      </c>
      <c r="BP58" s="206">
        <f t="shared" si="139"/>
        <v>1.0001020261023901</v>
      </c>
      <c r="BQ58" s="206">
        <f t="shared" si="139"/>
        <v>1.0001236811725502</v>
      </c>
      <c r="BR58" s="206">
        <f t="shared" si="139"/>
        <v>1.0000105754218473</v>
      </c>
      <c r="BS58" s="206">
        <f t="shared" si="139"/>
        <v>3.1002584237529791</v>
      </c>
      <c r="BT58" s="206">
        <f t="shared" si="139"/>
        <v>1.8386956859946972</v>
      </c>
      <c r="BU58" s="206">
        <f t="shared" si="139"/>
        <v>0.99689826780473145</v>
      </c>
      <c r="BV58" s="206">
        <f t="shared" si="139"/>
        <v>0.24775278309275842</v>
      </c>
      <c r="BW58" s="206">
        <f t="shared" si="139"/>
        <v>0.87659243063596881</v>
      </c>
      <c r="BX58" s="206">
        <f t="shared" si="139"/>
        <v>0</v>
      </c>
      <c r="BY58" s="206">
        <f>IFERROR(BY10/BY14,0)</f>
        <v>1.2669945312363315</v>
      </c>
      <c r="BZ58" s="206">
        <f>IFERROR(BZ10/BZ14,0)</f>
        <v>0.56584470946701548</v>
      </c>
      <c r="CA58" s="206">
        <f t="shared" ref="CA58" si="140">IFERROR(CA10/CA14,0)</f>
        <v>0.99910205328281365</v>
      </c>
      <c r="CB58" s="206">
        <f>IFERROR(CB10/CB14,0)</f>
        <v>1.6342917263840682</v>
      </c>
      <c r="CC58" s="206">
        <f>IFERROR(CC10/CC14,0)</f>
        <v>1.6850551471301729</v>
      </c>
      <c r="CD58" s="206">
        <f t="shared" ref="CD58" si="141">IFERROR(CD10/CD14,0)</f>
        <v>2.2507230539115235</v>
      </c>
      <c r="CE58" s="206">
        <f>IFERROR(CE10/CE14,0)</f>
        <v>0</v>
      </c>
      <c r="CF58" s="206">
        <f>IFERROR(CF10/CF14,0)</f>
        <v>0</v>
      </c>
      <c r="CG58" s="206">
        <f t="shared" ref="CG58" si="142">IFERROR(CG10/CG14,0)</f>
        <v>1.6128666615954126</v>
      </c>
      <c r="CH58" s="206">
        <f t="shared" si="139"/>
        <v>1.7712691144673023</v>
      </c>
      <c r="CI58" s="206">
        <f t="shared" si="139"/>
        <v>1.855992274437622</v>
      </c>
      <c r="CJ58" s="206">
        <f t="shared" ref="CJ58" si="143">IFERROR(CJ10/CJ14,0)</f>
        <v>1.739772463299468</v>
      </c>
    </row>
    <row r="59" spans="1:88" x14ac:dyDescent="0.2">
      <c r="A59" s="207" t="s">
        <v>106</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08"/>
      <c r="CC59" s="208"/>
      <c r="CD59" s="208"/>
      <c r="CE59" s="208"/>
      <c r="CF59" s="208"/>
      <c r="CG59" s="208"/>
      <c r="CH59" s="208"/>
      <c r="CI59" s="208"/>
      <c r="CJ59" s="208"/>
    </row>
    <row r="60" spans="1:88" x14ac:dyDescent="0.2">
      <c r="A60" s="96" t="s">
        <v>74</v>
      </c>
      <c r="B60" s="87">
        <f t="shared" ref="B60:AV60" si="144">IFERROR(B14/B16,0)</f>
        <v>1</v>
      </c>
      <c r="C60" s="87">
        <f t="shared" si="144"/>
        <v>1</v>
      </c>
      <c r="D60" s="87">
        <f t="shared" ref="D60" si="145">IFERROR(D14/D16,0)</f>
        <v>1</v>
      </c>
      <c r="E60" s="87">
        <f t="shared" si="144"/>
        <v>0.99989647339421084</v>
      </c>
      <c r="F60" s="87">
        <f t="shared" si="144"/>
        <v>0.99986390294289884</v>
      </c>
      <c r="G60" s="87">
        <f t="shared" si="144"/>
        <v>1</v>
      </c>
      <c r="H60" s="87">
        <f t="shared" si="144"/>
        <v>1</v>
      </c>
      <c r="I60" s="87">
        <f t="shared" si="144"/>
        <v>1</v>
      </c>
      <c r="J60" s="87">
        <f t="shared" ref="J60" si="146">IFERROR(J14/J16,0)</f>
        <v>1</v>
      </c>
      <c r="K60" s="87">
        <f t="shared" si="144"/>
        <v>1</v>
      </c>
      <c r="L60" s="87">
        <f t="shared" si="144"/>
        <v>1</v>
      </c>
      <c r="M60" s="87">
        <f t="shared" si="144"/>
        <v>0</v>
      </c>
      <c r="N60" s="87">
        <f t="shared" si="144"/>
        <v>1</v>
      </c>
      <c r="O60" s="87">
        <f t="shared" si="144"/>
        <v>1</v>
      </c>
      <c r="P60" s="87">
        <f t="shared" ref="P60" si="147">IFERROR(P14/P16,0)</f>
        <v>1</v>
      </c>
      <c r="Q60" s="87">
        <f t="shared" si="144"/>
        <v>1</v>
      </c>
      <c r="R60" s="87">
        <f t="shared" si="144"/>
        <v>1</v>
      </c>
      <c r="S60" s="87">
        <f t="shared" ref="S60" si="148">IFERROR(S14/S16,0)</f>
        <v>1</v>
      </c>
      <c r="T60" s="87">
        <f t="shared" si="144"/>
        <v>1</v>
      </c>
      <c r="U60" s="87">
        <f t="shared" si="144"/>
        <v>1</v>
      </c>
      <c r="V60" s="87">
        <f t="shared" si="144"/>
        <v>1</v>
      </c>
      <c r="W60" s="87">
        <f t="shared" si="144"/>
        <v>1</v>
      </c>
      <c r="X60" s="87">
        <f t="shared" si="144"/>
        <v>1</v>
      </c>
      <c r="Y60" s="87">
        <f t="shared" ref="Y60" si="149">IFERROR(Y14/Y16,0)</f>
        <v>1</v>
      </c>
      <c r="Z60" s="87">
        <f t="shared" si="144"/>
        <v>0.77263089579463273</v>
      </c>
      <c r="AA60" s="87">
        <f t="shared" si="144"/>
        <v>1</v>
      </c>
      <c r="AB60" s="87">
        <f t="shared" ref="AB60" si="150">IFERROR(AB14/AB16,0)</f>
        <v>1</v>
      </c>
      <c r="AC60" s="87">
        <f t="shared" si="144"/>
        <v>1</v>
      </c>
      <c r="AD60" s="87">
        <f t="shared" si="144"/>
        <v>1</v>
      </c>
      <c r="AE60" s="87">
        <f t="shared" ref="AE60" si="151">IFERROR(AE14/AE16,0)</f>
        <v>1</v>
      </c>
      <c r="AF60" s="87">
        <f t="shared" si="144"/>
        <v>1</v>
      </c>
      <c r="AG60" s="87">
        <f t="shared" si="144"/>
        <v>1</v>
      </c>
      <c r="AH60" s="87">
        <f t="shared" ref="AH60" si="152">IFERROR(AH14/AH16,0)</f>
        <v>1</v>
      </c>
      <c r="AI60" s="87">
        <f t="shared" si="144"/>
        <v>1</v>
      </c>
      <c r="AJ60" s="87">
        <f t="shared" si="144"/>
        <v>1</v>
      </c>
      <c r="AK60" s="87">
        <f t="shared" ref="AK60" si="153">IFERROR(AK14/AK16,0)</f>
        <v>1</v>
      </c>
      <c r="AL60" s="87">
        <f t="shared" si="144"/>
        <v>1</v>
      </c>
      <c r="AM60" s="87">
        <f t="shared" si="144"/>
        <v>1</v>
      </c>
      <c r="AN60" s="87">
        <f t="shared" ref="AN60" si="154">IFERROR(AN14/AN16,0)</f>
        <v>1</v>
      </c>
      <c r="AO60" s="87">
        <f t="shared" si="144"/>
        <v>1</v>
      </c>
      <c r="AP60" s="87">
        <f t="shared" si="144"/>
        <v>1</v>
      </c>
      <c r="AQ60" s="87">
        <f t="shared" ref="AQ60" si="155">IFERROR(AQ14/AQ16,0)</f>
        <v>0</v>
      </c>
      <c r="AR60" s="87">
        <f t="shared" si="144"/>
        <v>1</v>
      </c>
      <c r="AS60" s="87">
        <f t="shared" si="144"/>
        <v>1</v>
      </c>
      <c r="AT60" s="87">
        <f t="shared" ref="AT60" si="156">IFERROR(AT14/AT16,0)</f>
        <v>1</v>
      </c>
      <c r="AU60" s="87">
        <f t="shared" si="144"/>
        <v>1</v>
      </c>
      <c r="AV60" s="87">
        <f t="shared" si="144"/>
        <v>1</v>
      </c>
      <c r="AW60" s="87">
        <f t="shared" ref="AW60" si="157">IFERROR(AW14/AW16,0)</f>
        <v>1</v>
      </c>
      <c r="AX60" s="87">
        <f t="shared" ref="AX60:CI60" si="158">IFERROR(AX14/AX16,0)</f>
        <v>0.99448844585751217</v>
      </c>
      <c r="AY60" s="87">
        <f t="shared" si="158"/>
        <v>0.99923746124766144</v>
      </c>
      <c r="AZ60" s="87">
        <f t="shared" si="158"/>
        <v>0.8317369503227533</v>
      </c>
      <c r="BA60" s="87">
        <f t="shared" si="158"/>
        <v>1</v>
      </c>
      <c r="BB60" s="87">
        <f t="shared" si="158"/>
        <v>1</v>
      </c>
      <c r="BC60" s="87">
        <f t="shared" si="158"/>
        <v>1</v>
      </c>
      <c r="BD60" s="87">
        <f t="shared" si="158"/>
        <v>0.29856876742687505</v>
      </c>
      <c r="BE60" s="87">
        <f t="shared" si="158"/>
        <v>0.48600926946529449</v>
      </c>
      <c r="BF60" s="87">
        <f t="shared" si="158"/>
        <v>0.88743053072114564</v>
      </c>
      <c r="BG60" s="87">
        <f t="shared" si="158"/>
        <v>1</v>
      </c>
      <c r="BH60" s="87">
        <f t="shared" si="158"/>
        <v>1</v>
      </c>
      <c r="BI60" s="87">
        <f t="shared" si="158"/>
        <v>1</v>
      </c>
      <c r="BJ60" s="87">
        <f t="shared" si="158"/>
        <v>1</v>
      </c>
      <c r="BK60" s="87">
        <f t="shared" si="158"/>
        <v>1</v>
      </c>
      <c r="BL60" s="87">
        <f t="shared" si="158"/>
        <v>1</v>
      </c>
      <c r="BM60" s="87">
        <f t="shared" si="158"/>
        <v>1</v>
      </c>
      <c r="BN60" s="87">
        <f t="shared" si="158"/>
        <v>1</v>
      </c>
      <c r="BO60" s="87">
        <f t="shared" si="158"/>
        <v>0</v>
      </c>
      <c r="BP60" s="87">
        <f t="shared" si="158"/>
        <v>1</v>
      </c>
      <c r="BQ60" s="87">
        <f t="shared" si="158"/>
        <v>1</v>
      </c>
      <c r="BR60" s="87">
        <f t="shared" si="158"/>
        <v>1</v>
      </c>
      <c r="BS60" s="87">
        <f t="shared" si="158"/>
        <v>0.31567877323754945</v>
      </c>
      <c r="BT60" s="87">
        <f t="shared" si="158"/>
        <v>0.53145811984894165</v>
      </c>
      <c r="BU60" s="87">
        <f t="shared" si="158"/>
        <v>1</v>
      </c>
      <c r="BV60" s="87">
        <f t="shared" si="158"/>
        <v>1</v>
      </c>
      <c r="BW60" s="87">
        <f t="shared" si="158"/>
        <v>0.22163129905075685</v>
      </c>
      <c r="BX60" s="87">
        <f t="shared" si="158"/>
        <v>0</v>
      </c>
      <c r="BY60" s="87">
        <f>IFERROR(BY14/BY16,0)</f>
        <v>0.77805279213811251</v>
      </c>
      <c r="BZ60" s="87">
        <f>IFERROR(BZ14/BZ16,0)</f>
        <v>0.89541597106482052</v>
      </c>
      <c r="CA60" s="87">
        <f t="shared" ref="CA60" si="159">IFERROR(CA14/CA16,0)</f>
        <v>1</v>
      </c>
      <c r="CB60" s="87">
        <f>IFERROR(CB14/CB16,0)</f>
        <v>0.98802756247895351</v>
      </c>
      <c r="CC60" s="87">
        <f>IFERROR(CC14/CC16,0)</f>
        <v>0.98712534637133709</v>
      </c>
      <c r="CD60" s="87">
        <f t="shared" ref="CD60" si="160">IFERROR(CD14/CD16,0)</f>
        <v>0.98739896705831331</v>
      </c>
      <c r="CE60" s="87">
        <f>IFERROR(CE14/CE16,0)</f>
        <v>0</v>
      </c>
      <c r="CF60" s="87">
        <f>IFERROR(CF14/CF16,0)</f>
        <v>0</v>
      </c>
      <c r="CG60" s="87">
        <f t="shared" ref="CG60" si="161">IFERROR(CG14/CG16,0)</f>
        <v>1</v>
      </c>
      <c r="CH60" s="87">
        <f t="shared" si="158"/>
        <v>0.98088831445117142</v>
      </c>
      <c r="CI60" s="87">
        <f t="shared" si="158"/>
        <v>0.9863009440384537</v>
      </c>
      <c r="CJ60" s="87">
        <f t="shared" ref="CJ60" si="162">IFERROR(CJ14/CJ16,0)</f>
        <v>0.99204075609611597</v>
      </c>
    </row>
    <row r="61" spans="1:88" x14ac:dyDescent="0.2">
      <c r="A61" s="96" t="s">
        <v>75</v>
      </c>
      <c r="B61" s="86">
        <f t="shared" ref="B61:AV61" si="163">IFERROR(B16/B32,0)</f>
        <v>3.0121373515400967</v>
      </c>
      <c r="C61" s="86">
        <f t="shared" si="163"/>
        <v>4.1880914564610752</v>
      </c>
      <c r="D61" s="86">
        <f t="shared" ref="D61" si="164">IFERROR(D16/D32,0)</f>
        <v>3.0333973566306982</v>
      </c>
      <c r="E61" s="86">
        <f t="shared" si="163"/>
        <v>1.1965645829360751</v>
      </c>
      <c r="F61" s="86">
        <f t="shared" si="163"/>
        <v>1.1614409191281931</v>
      </c>
      <c r="G61" s="86">
        <f t="shared" si="163"/>
        <v>1.0965195472859153</v>
      </c>
      <c r="H61" s="86">
        <f t="shared" si="163"/>
        <v>1.929981838286134</v>
      </c>
      <c r="I61" s="86">
        <f t="shared" si="163"/>
        <v>1.4386455361608983</v>
      </c>
      <c r="J61" s="86">
        <f t="shared" ref="J61" si="165">IFERROR(J16/J32,0)</f>
        <v>1.2722562948070055</v>
      </c>
      <c r="K61" s="86">
        <f t="shared" si="163"/>
        <v>10.044869211119629</v>
      </c>
      <c r="L61" s="86">
        <f t="shared" si="163"/>
        <v>10.075591336268499</v>
      </c>
      <c r="M61" s="86">
        <f t="shared" si="163"/>
        <v>0</v>
      </c>
      <c r="N61" s="86">
        <f t="shared" si="163"/>
        <v>0.39826724016916193</v>
      </c>
      <c r="O61" s="86">
        <f t="shared" si="163"/>
        <v>0.27284844857268248</v>
      </c>
      <c r="P61" s="86">
        <f t="shared" ref="P61" si="166">IFERROR(P16/P32,0)</f>
        <v>0.70040742850837034</v>
      </c>
      <c r="Q61" s="86">
        <f t="shared" si="163"/>
        <v>833.83598999138883</v>
      </c>
      <c r="R61" s="86">
        <f t="shared" si="163"/>
        <v>961.80021149644142</v>
      </c>
      <c r="S61" s="86">
        <f t="shared" ref="S61" si="167">IFERROR(S16/S32,0)</f>
        <v>1408.9092957473811</v>
      </c>
      <c r="T61" s="86">
        <f t="shared" si="163"/>
        <v>0.86566220925787385</v>
      </c>
      <c r="U61" s="86">
        <f t="shared" si="163"/>
        <v>0.19993095213209047</v>
      </c>
      <c r="V61" s="86">
        <f t="shared" si="163"/>
        <v>2.1246839969844129</v>
      </c>
      <c r="W61" s="86">
        <f t="shared" si="163"/>
        <v>2.4051096837204415</v>
      </c>
      <c r="X61" s="86">
        <f t="shared" si="163"/>
        <v>2.4323065046501124</v>
      </c>
      <c r="Y61" s="86">
        <f t="shared" ref="Y61" si="168">IFERROR(Y16/Y32,0)</f>
        <v>2.1022311296396596</v>
      </c>
      <c r="Z61" s="86">
        <f t="shared" si="163"/>
        <v>-1.2107359121716923</v>
      </c>
      <c r="AA61" s="86">
        <f t="shared" si="163"/>
        <v>-1.1456421837734811</v>
      </c>
      <c r="AB61" s="86">
        <f t="shared" ref="AB61" si="169">IFERROR(AB16/AB32,0)</f>
        <v>-3.4985724637948374</v>
      </c>
      <c r="AC61" s="86">
        <f t="shared" si="163"/>
        <v>0.73873719117289438</v>
      </c>
      <c r="AD61" s="86">
        <f t="shared" si="163"/>
        <v>0.2501461067378094</v>
      </c>
      <c r="AE61" s="86">
        <f t="shared" ref="AE61" si="170">IFERROR(AE16/AE32,0)</f>
        <v>0.43920824335164743</v>
      </c>
      <c r="AF61" s="86">
        <f t="shared" si="163"/>
        <v>-1.1488969901867938</v>
      </c>
      <c r="AG61" s="86">
        <f t="shared" si="163"/>
        <v>-1.1497098302567539</v>
      </c>
      <c r="AH61" s="86">
        <f t="shared" ref="AH61" si="171">IFERROR(AH16/AH32,0)</f>
        <v>-1.1119570260432148</v>
      </c>
      <c r="AI61" s="86">
        <f t="shared" si="163"/>
        <v>1.0653440094376774</v>
      </c>
      <c r="AJ61" s="86">
        <f t="shared" si="163"/>
        <v>1.4041487380649449</v>
      </c>
      <c r="AK61" s="86">
        <f t="shared" ref="AK61" si="172">IFERROR(AK16/AK32,0)</f>
        <v>0.94403139179764561</v>
      </c>
      <c r="AL61" s="86">
        <f t="shared" si="163"/>
        <v>-2.1702013859820473</v>
      </c>
      <c r="AM61" s="86">
        <f t="shared" si="163"/>
        <v>-2.0231519036123369</v>
      </c>
      <c r="AN61" s="86">
        <f t="shared" ref="AN61" si="173">IFERROR(AN16/AN32,0)</f>
        <v>-6.764221065881852</v>
      </c>
      <c r="AO61" s="86">
        <f t="shared" si="163"/>
        <v>1.6341058202444343</v>
      </c>
      <c r="AP61" s="86">
        <f t="shared" si="163"/>
        <v>1.3735791890600686</v>
      </c>
      <c r="AQ61" s="86">
        <f t="shared" ref="AQ61" si="174">IFERROR(AQ16/AQ32,0)</f>
        <v>0</v>
      </c>
      <c r="AR61" s="86">
        <f t="shared" si="163"/>
        <v>7.4201697645639775E-2</v>
      </c>
      <c r="AS61" s="86">
        <f t="shared" si="163"/>
        <v>7.0636384405791564E-2</v>
      </c>
      <c r="AT61" s="86">
        <f t="shared" ref="AT61" si="175">IFERROR(AT16/AT32,0)</f>
        <v>0.18421813006113444</v>
      </c>
      <c r="AU61" s="86">
        <f t="shared" si="163"/>
        <v>0.1702534660441124</v>
      </c>
      <c r="AV61" s="86">
        <f t="shared" si="163"/>
        <v>6.0825590997273603E-2</v>
      </c>
      <c r="AW61" s="86">
        <f t="shared" ref="AW61" si="176">IFERROR(AW16/AW32,0)</f>
        <v>-5.6198914452153664E-3</v>
      </c>
      <c r="AX61" s="86">
        <f t="shared" ref="AX61:CI61" si="177">IFERROR(AX16/AX32,0)</f>
        <v>0.5244724705998417</v>
      </c>
      <c r="AY61" s="86">
        <f t="shared" si="177"/>
        <v>0.24879225587286766</v>
      </c>
      <c r="AZ61" s="86">
        <f t="shared" si="177"/>
        <v>1.1496901985914574</v>
      </c>
      <c r="BA61" s="86">
        <f t="shared" si="177"/>
        <v>0.40420579090110587</v>
      </c>
      <c r="BB61" s="86">
        <f t="shared" si="177"/>
        <v>0.30329596306802709</v>
      </c>
      <c r="BC61" s="86">
        <f t="shared" si="177"/>
        <v>0.44062941617568541</v>
      </c>
      <c r="BD61" s="86">
        <f t="shared" si="177"/>
        <v>-17.53671590818621</v>
      </c>
      <c r="BE61" s="86">
        <f t="shared" si="177"/>
        <v>4.332139458369725</v>
      </c>
      <c r="BF61" s="86">
        <f t="shared" si="177"/>
        <v>7.3706264622091364</v>
      </c>
      <c r="BG61" s="86">
        <f t="shared" si="177"/>
        <v>-6.4876926225388321</v>
      </c>
      <c r="BH61" s="86">
        <f t="shared" si="177"/>
        <v>211.73022187075694</v>
      </c>
      <c r="BI61" s="86">
        <f t="shared" si="177"/>
        <v>9.2632178278664963</v>
      </c>
      <c r="BJ61" s="86">
        <f t="shared" si="177"/>
        <v>1.0579549497881253</v>
      </c>
      <c r="BK61" s="86">
        <f t="shared" si="177"/>
        <v>1.1830353395445097</v>
      </c>
      <c r="BL61" s="86">
        <f t="shared" si="177"/>
        <v>18.057811390294336</v>
      </c>
      <c r="BM61" s="86">
        <f t="shared" si="177"/>
        <v>0.19371203617153873</v>
      </c>
      <c r="BN61" s="86">
        <f t="shared" si="177"/>
        <v>0.13759304504103179</v>
      </c>
      <c r="BO61" s="86">
        <f t="shared" si="177"/>
        <v>0</v>
      </c>
      <c r="BP61" s="86">
        <f t="shared" si="177"/>
        <v>9801.4133302615883</v>
      </c>
      <c r="BQ61" s="86">
        <f t="shared" si="177"/>
        <v>8085.304977145759</v>
      </c>
      <c r="BR61" s="86">
        <f t="shared" si="177"/>
        <v>94558.875706367238</v>
      </c>
      <c r="BS61" s="86">
        <f t="shared" si="177"/>
        <v>1124008.3017333334</v>
      </c>
      <c r="BT61" s="86">
        <f t="shared" si="177"/>
        <v>1080436.1299999999</v>
      </c>
      <c r="BU61" s="86">
        <f t="shared" si="177"/>
        <v>7750011.7203333331</v>
      </c>
      <c r="BV61" s="86">
        <f t="shared" si="177"/>
        <v>-1.3675409220614674</v>
      </c>
      <c r="BW61" s="86">
        <f t="shared" si="177"/>
        <v>-2.777417901310244</v>
      </c>
      <c r="BX61" s="86">
        <f t="shared" si="177"/>
        <v>0</v>
      </c>
      <c r="BY61" s="86">
        <f>IFERROR(BY16/BY32,0)</f>
        <v>77.51633414545455</v>
      </c>
      <c r="BZ61" s="86">
        <f>IFERROR(BZ16/BZ32,0)</f>
        <v>174.41708264545454</v>
      </c>
      <c r="CA61" s="86">
        <f t="shared" ref="CA61" si="178">IFERROR(CA16/CA32,0)</f>
        <v>1321.1397152073737</v>
      </c>
      <c r="CB61" s="86">
        <f>IFERROR(CB16/CB32,0)</f>
        <v>1.4646409195869909</v>
      </c>
      <c r="CC61" s="86">
        <f>IFERROR(CC16/CC32,0)</f>
        <v>1.3601233030630353</v>
      </c>
      <c r="CD61" s="86">
        <f t="shared" ref="CD61" si="179">IFERROR(CD16/CD32,0)</f>
        <v>0.75722363679952942</v>
      </c>
      <c r="CE61" s="86">
        <f>IFERROR(CE16/CE32,0)</f>
        <v>0</v>
      </c>
      <c r="CF61" s="86">
        <f>IFERROR(CF16/CF32,0)</f>
        <v>0</v>
      </c>
      <c r="CG61" s="86">
        <f t="shared" ref="CG61" si="180">IFERROR(CG16/CG32,0)</f>
        <v>1.6316762889284973</v>
      </c>
      <c r="CH61" s="86">
        <f t="shared" si="177"/>
        <v>1.3329811339762203</v>
      </c>
      <c r="CI61" s="86">
        <f t="shared" si="177"/>
        <v>1.1764022136341121</v>
      </c>
      <c r="CJ61" s="86">
        <f t="shared" ref="CJ61" si="181">IFERROR(CJ16/CJ32,0)</f>
        <v>1.3576054046957813</v>
      </c>
    </row>
    <row r="62" spans="1:88" x14ac:dyDescent="0.2">
      <c r="A62" s="97" t="s">
        <v>76</v>
      </c>
      <c r="B62" s="86">
        <f t="shared" ref="B62:AV62" si="182">IFERROR(B15/B32,0)</f>
        <v>0</v>
      </c>
      <c r="C62" s="86">
        <f t="shared" si="182"/>
        <v>0</v>
      </c>
      <c r="D62" s="86">
        <f t="shared" ref="D62" si="183">IFERROR(D15/D32,0)</f>
        <v>0</v>
      </c>
      <c r="E62" s="86">
        <f t="shared" si="182"/>
        <v>1.2387626987895843E-4</v>
      </c>
      <c r="F62" s="86">
        <f t="shared" si="182"/>
        <v>1.580686910902429E-4</v>
      </c>
      <c r="G62" s="86">
        <f t="shared" si="182"/>
        <v>0</v>
      </c>
      <c r="H62" s="86">
        <f t="shared" si="182"/>
        <v>0</v>
      </c>
      <c r="I62" s="86">
        <f t="shared" si="182"/>
        <v>0</v>
      </c>
      <c r="J62" s="86">
        <f t="shared" ref="J62" si="184">IFERROR(J15/J32,0)</f>
        <v>0</v>
      </c>
      <c r="K62" s="86">
        <f t="shared" si="182"/>
        <v>0</v>
      </c>
      <c r="L62" s="86">
        <f t="shared" si="182"/>
        <v>0</v>
      </c>
      <c r="M62" s="86">
        <f t="shared" si="182"/>
        <v>0</v>
      </c>
      <c r="N62" s="86">
        <f t="shared" si="182"/>
        <v>0</v>
      </c>
      <c r="O62" s="86">
        <f t="shared" si="182"/>
        <v>0</v>
      </c>
      <c r="P62" s="86">
        <f t="shared" ref="P62" si="185">IFERROR(P15/P32,0)</f>
        <v>0</v>
      </c>
      <c r="Q62" s="86">
        <f t="shared" si="182"/>
        <v>0</v>
      </c>
      <c r="R62" s="86">
        <f t="shared" si="182"/>
        <v>0</v>
      </c>
      <c r="S62" s="86">
        <f t="shared" ref="S62" si="186">IFERROR(S15/S32,0)</f>
        <v>0</v>
      </c>
      <c r="T62" s="86">
        <f t="shared" si="182"/>
        <v>0</v>
      </c>
      <c r="U62" s="86">
        <f t="shared" si="182"/>
        <v>0</v>
      </c>
      <c r="V62" s="86">
        <f t="shared" si="182"/>
        <v>0</v>
      </c>
      <c r="W62" s="86">
        <f t="shared" si="182"/>
        <v>0</v>
      </c>
      <c r="X62" s="86">
        <f t="shared" si="182"/>
        <v>0</v>
      </c>
      <c r="Y62" s="86">
        <f t="shared" ref="Y62" si="187">IFERROR(Y15/Y32,0)</f>
        <v>0</v>
      </c>
      <c r="Z62" s="86">
        <f t="shared" si="182"/>
        <v>-0.27528393977974597</v>
      </c>
      <c r="AA62" s="86">
        <f t="shared" si="182"/>
        <v>0</v>
      </c>
      <c r="AB62" s="86">
        <f t="shared" ref="AB62" si="188">IFERROR(AB15/AB32,0)</f>
        <v>0</v>
      </c>
      <c r="AC62" s="86">
        <f t="shared" si="182"/>
        <v>0</v>
      </c>
      <c r="AD62" s="86">
        <f t="shared" si="182"/>
        <v>0</v>
      </c>
      <c r="AE62" s="86">
        <f t="shared" ref="AE62" si="189">IFERROR(AE15/AE32,0)</f>
        <v>0</v>
      </c>
      <c r="AF62" s="86">
        <f t="shared" si="182"/>
        <v>0</v>
      </c>
      <c r="AG62" s="86">
        <f t="shared" si="182"/>
        <v>0</v>
      </c>
      <c r="AH62" s="86">
        <f t="shared" ref="AH62" si="190">IFERROR(AH15/AH32,0)</f>
        <v>0</v>
      </c>
      <c r="AI62" s="86">
        <f t="shared" si="182"/>
        <v>0</v>
      </c>
      <c r="AJ62" s="86">
        <f t="shared" si="182"/>
        <v>0</v>
      </c>
      <c r="AK62" s="86">
        <f t="shared" ref="AK62" si="191">IFERROR(AK15/AK32,0)</f>
        <v>0</v>
      </c>
      <c r="AL62" s="86">
        <f t="shared" si="182"/>
        <v>0</v>
      </c>
      <c r="AM62" s="86">
        <f t="shared" si="182"/>
        <v>0</v>
      </c>
      <c r="AN62" s="86">
        <f t="shared" ref="AN62" si="192">IFERROR(AN15/AN32,0)</f>
        <v>0</v>
      </c>
      <c r="AO62" s="86">
        <f t="shared" si="182"/>
        <v>0</v>
      </c>
      <c r="AP62" s="86">
        <f t="shared" si="182"/>
        <v>0</v>
      </c>
      <c r="AQ62" s="86">
        <f t="shared" ref="AQ62" si="193">IFERROR(AQ15/AQ32,0)</f>
        <v>0</v>
      </c>
      <c r="AR62" s="86">
        <f t="shared" si="182"/>
        <v>0</v>
      </c>
      <c r="AS62" s="86">
        <f t="shared" si="182"/>
        <v>0</v>
      </c>
      <c r="AT62" s="86">
        <f t="shared" ref="AT62" si="194">IFERROR(AT15/AT32,0)</f>
        <v>0</v>
      </c>
      <c r="AU62" s="86">
        <f t="shared" si="182"/>
        <v>0</v>
      </c>
      <c r="AV62" s="86">
        <f t="shared" si="182"/>
        <v>0</v>
      </c>
      <c r="AW62" s="86">
        <f t="shared" ref="AW62" si="195">IFERROR(AW15/AW32,0)</f>
        <v>0</v>
      </c>
      <c r="AX62" s="86">
        <f t="shared" ref="AX62:CI62" si="196">IFERROR(AX15/AX32,0)</f>
        <v>2.8906584179553851E-3</v>
      </c>
      <c r="AY62" s="86">
        <f t="shared" si="196"/>
        <v>1.8971373638479821E-4</v>
      </c>
      <c r="AZ62" s="86">
        <f t="shared" si="196"/>
        <v>0.193450378999038</v>
      </c>
      <c r="BA62" s="86">
        <f t="shared" si="196"/>
        <v>0</v>
      </c>
      <c r="BB62" s="86">
        <f t="shared" si="196"/>
        <v>0</v>
      </c>
      <c r="BC62" s="86">
        <f t="shared" si="196"/>
        <v>0</v>
      </c>
      <c r="BD62" s="86">
        <f t="shared" si="196"/>
        <v>-12.30080025476378</v>
      </c>
      <c r="BE62" s="86">
        <f t="shared" si="196"/>
        <v>2.2266795249856783</v>
      </c>
      <c r="BF62" s="86">
        <f t="shared" si="196"/>
        <v>0.82970750910356261</v>
      </c>
      <c r="BG62" s="86">
        <f t="shared" si="196"/>
        <v>0</v>
      </c>
      <c r="BH62" s="86">
        <f t="shared" si="196"/>
        <v>0</v>
      </c>
      <c r="BI62" s="86">
        <f t="shared" si="196"/>
        <v>0</v>
      </c>
      <c r="BJ62" s="86">
        <f t="shared" si="196"/>
        <v>0</v>
      </c>
      <c r="BK62" s="86">
        <f t="shared" si="196"/>
        <v>0</v>
      </c>
      <c r="BL62" s="86">
        <f t="shared" si="196"/>
        <v>0</v>
      </c>
      <c r="BM62" s="86">
        <f t="shared" si="196"/>
        <v>0</v>
      </c>
      <c r="BN62" s="86">
        <f t="shared" si="196"/>
        <v>0</v>
      </c>
      <c r="BO62" s="86">
        <f t="shared" si="196"/>
        <v>0</v>
      </c>
      <c r="BP62" s="86">
        <f t="shared" si="196"/>
        <v>0</v>
      </c>
      <c r="BQ62" s="86">
        <f t="shared" si="196"/>
        <v>0</v>
      </c>
      <c r="BR62" s="86">
        <f t="shared" si="196"/>
        <v>0</v>
      </c>
      <c r="BS62" s="86">
        <f t="shared" si="196"/>
        <v>769182.73993333336</v>
      </c>
      <c r="BT62" s="86">
        <f t="shared" si="196"/>
        <v>506229.57573333336</v>
      </c>
      <c r="BU62" s="86">
        <f t="shared" si="196"/>
        <v>0</v>
      </c>
      <c r="BV62" s="86">
        <f t="shared" si="196"/>
        <v>0</v>
      </c>
      <c r="BW62" s="86">
        <f t="shared" si="196"/>
        <v>-2.1618551638360275</v>
      </c>
      <c r="BX62" s="86">
        <f t="shared" si="196"/>
        <v>0</v>
      </c>
      <c r="BY62" s="86">
        <f>IFERROR(BY15/BY32,0)</f>
        <v>17.204533927272728</v>
      </c>
      <c r="BZ62" s="86">
        <f>IFERROR(BZ15/BZ32,0)</f>
        <v>18.24124121818182</v>
      </c>
      <c r="CA62" s="86">
        <f t="shared" ref="CA62" si="197">IFERROR(CA15/CA32,0)</f>
        <v>0</v>
      </c>
      <c r="CB62" s="86">
        <f>IFERROR(CB15/CB32,0)</f>
        <v>1.753532190052336E-2</v>
      </c>
      <c r="CC62" s="86">
        <f>IFERROR(CC15/CC32,0)</f>
        <v>1.7511116419209483E-2</v>
      </c>
      <c r="CD62" s="86">
        <f t="shared" ref="CD62" si="198">IFERROR(CD15/CD32,0)</f>
        <v>9.5417999915346774E-3</v>
      </c>
      <c r="CE62" s="86">
        <f>IFERROR(CE15/CE32,0)</f>
        <v>0</v>
      </c>
      <c r="CF62" s="86">
        <f>IFERROR(CF15/CF32,0)</f>
        <v>0</v>
      </c>
      <c r="CG62" s="86">
        <f t="shared" ref="CG62" si="199">IFERROR(CG15/CG32,0)</f>
        <v>0</v>
      </c>
      <c r="CH62" s="86">
        <f t="shared" si="196"/>
        <v>2.5475516275074491E-2</v>
      </c>
      <c r="CI62" s="86">
        <f t="shared" si="196"/>
        <v>1.6115599757860661E-2</v>
      </c>
      <c r="CJ62" s="86">
        <f t="shared" ref="CJ62" si="200">IFERROR(CJ15/CJ32,0)</f>
        <v>1.0805512541204963E-2</v>
      </c>
    </row>
    <row r="63" spans="1:88" x14ac:dyDescent="0.2">
      <c r="A63" s="96" t="s">
        <v>77</v>
      </c>
      <c r="B63" s="86">
        <f t="shared" ref="B63:AV63" si="201">IFERROR(B16/B12,0)</f>
        <v>0.7507562896329707</v>
      </c>
      <c r="C63" s="86">
        <f t="shared" si="201"/>
        <v>0.80725089208775735</v>
      </c>
      <c r="D63" s="86">
        <f t="shared" ref="D63" si="202">IFERROR(D16/D12,0)</f>
        <v>0.75207005122962867</v>
      </c>
      <c r="E63" s="86">
        <f t="shared" si="201"/>
        <v>0.5447436384213511</v>
      </c>
      <c r="F63" s="86">
        <f t="shared" si="201"/>
        <v>0.53734567012669254</v>
      </c>
      <c r="G63" s="86">
        <f t="shared" si="201"/>
        <v>0.52301899531794649</v>
      </c>
      <c r="H63" s="86">
        <f t="shared" si="201"/>
        <v>0.65870095611755031</v>
      </c>
      <c r="I63" s="86">
        <f t="shared" si="201"/>
        <v>0.58993630473485037</v>
      </c>
      <c r="J63" s="86">
        <f t="shared" ref="J63" si="203">IFERROR(J16/J12,0)</f>
        <v>0.5599087997751877</v>
      </c>
      <c r="K63" s="86">
        <f t="shared" si="201"/>
        <v>0.90946022258070458</v>
      </c>
      <c r="L63" s="86">
        <f t="shared" si="201"/>
        <v>0.90971136712805867</v>
      </c>
      <c r="M63" s="86">
        <f t="shared" si="201"/>
        <v>0</v>
      </c>
      <c r="N63" s="86">
        <f t="shared" si="201"/>
        <v>0.28482912903042745</v>
      </c>
      <c r="O63" s="86">
        <f t="shared" si="201"/>
        <v>0.21436051470121442</v>
      </c>
      <c r="P63" s="86">
        <f t="shared" ref="P63" si="204">IFERROR(P16/P12,0)</f>
        <v>0.41190565082556774</v>
      </c>
      <c r="Q63" s="86">
        <f t="shared" si="201"/>
        <v>0.99880215993082633</v>
      </c>
      <c r="R63" s="86">
        <f t="shared" si="201"/>
        <v>0.99896136292030335</v>
      </c>
      <c r="S63" s="86">
        <f t="shared" ref="S63" si="205">IFERROR(S16/S12,0)</f>
        <v>0.99929073451532224</v>
      </c>
      <c r="T63" s="86">
        <f t="shared" si="201"/>
        <v>0.4639972900572491</v>
      </c>
      <c r="U63" s="86">
        <f t="shared" si="201"/>
        <v>0.16661871399920494</v>
      </c>
      <c r="V63" s="86">
        <f t="shared" si="201"/>
        <v>0.67996763801872917</v>
      </c>
      <c r="W63" s="86">
        <f t="shared" si="201"/>
        <v>0.70632370382049059</v>
      </c>
      <c r="X63" s="86">
        <f t="shared" si="201"/>
        <v>0.70865072841099908</v>
      </c>
      <c r="Y63" s="86">
        <f t="shared" ref="Y63" si="206">IFERROR(Y16/Y12,0)</f>
        <v>0.67765135535979382</v>
      </c>
      <c r="Z63" s="86">
        <f t="shared" si="201"/>
        <v>5.7452756850729481</v>
      </c>
      <c r="AA63" s="86">
        <f t="shared" si="201"/>
        <v>7.8661425837675658</v>
      </c>
      <c r="AB63" s="86">
        <f t="shared" ref="AB63" si="207">IFERROR(AB16/AB12,0)</f>
        <v>1.4002285362903575</v>
      </c>
      <c r="AC63" s="86">
        <f t="shared" si="201"/>
        <v>0.42486995442627346</v>
      </c>
      <c r="AD63" s="86">
        <f t="shared" si="201"/>
        <v>0.20009349738371984</v>
      </c>
      <c r="AE63" s="86">
        <f t="shared" ref="AE63" si="208">IFERROR(AE16/AE12,0)</f>
        <v>0.30517351841232748</v>
      </c>
      <c r="AF63" s="86">
        <f t="shared" si="201"/>
        <v>7.7160524785993552</v>
      </c>
      <c r="AG63" s="86">
        <f t="shared" si="201"/>
        <v>7.6795880957515639</v>
      </c>
      <c r="AH63" s="86">
        <f t="shared" ref="AH63" si="209">IFERROR(AH16/AH12,0)</f>
        <v>9.9319986010882939</v>
      </c>
      <c r="AI63" s="86">
        <f t="shared" si="201"/>
        <v>0.51581915873072115</v>
      </c>
      <c r="AJ63" s="86">
        <f t="shared" si="201"/>
        <v>0.58405235742407458</v>
      </c>
      <c r="AK63" s="86">
        <f t="shared" ref="AK63" si="210">IFERROR(AK16/AK12,0)</f>
        <v>0.48560501429182162</v>
      </c>
      <c r="AL63" s="86">
        <f t="shared" si="201"/>
        <v>1.8545537648297927</v>
      </c>
      <c r="AM63" s="86">
        <f t="shared" si="201"/>
        <v>1.9773719781680543</v>
      </c>
      <c r="AN63" s="86">
        <f t="shared" ref="AN63" si="211">IFERROR(AN16/AN12,0)</f>
        <v>1.1734839778992781</v>
      </c>
      <c r="AO63" s="86">
        <f t="shared" si="201"/>
        <v>0.62036453041692752</v>
      </c>
      <c r="AP63" s="86">
        <f t="shared" si="201"/>
        <v>0.57869532872168572</v>
      </c>
      <c r="AQ63" s="86">
        <f t="shared" ref="AQ63" si="212">IFERROR(AQ16/AQ12,0)</f>
        <v>0</v>
      </c>
      <c r="AR63" s="86">
        <f t="shared" si="201"/>
        <v>6.9076131426965601E-2</v>
      </c>
      <c r="AS63" s="86">
        <f t="shared" si="201"/>
        <v>6.5976073141765207E-2</v>
      </c>
      <c r="AT63" s="86">
        <f t="shared" ref="AT63" si="213">IFERROR(AT16/AT12,0)</f>
        <v>0.15556097764828539</v>
      </c>
      <c r="AU63" s="86">
        <f t="shared" si="201"/>
        <v>0.14548426557507393</v>
      </c>
      <c r="AV63" s="86">
        <f t="shared" si="201"/>
        <v>5.7337974793850846E-2</v>
      </c>
      <c r="AW63" s="86">
        <f t="shared" ref="AW63" si="214">IFERROR(AW16/AW12,0)</f>
        <v>-5.6516531222484149E-3</v>
      </c>
      <c r="AX63" s="86">
        <f t="shared" ref="AX63:CI63" si="215">IFERROR(AX16/AX12,0)</f>
        <v>0.34403538319945842</v>
      </c>
      <c r="AY63" s="86">
        <f t="shared" si="215"/>
        <v>0.19922629620966817</v>
      </c>
      <c r="AZ63" s="86">
        <f t="shared" si="215"/>
        <v>0.53481669095610584</v>
      </c>
      <c r="BA63" s="86">
        <f t="shared" si="215"/>
        <v>0.28785367039521981</v>
      </c>
      <c r="BB63" s="86">
        <f t="shared" si="215"/>
        <v>0.23271457263939685</v>
      </c>
      <c r="BC63" s="86">
        <f t="shared" si="215"/>
        <v>0.30585896083212455</v>
      </c>
      <c r="BD63" s="86">
        <f t="shared" si="215"/>
        <v>1.0604714990299233</v>
      </c>
      <c r="BE63" s="86">
        <f t="shared" si="215"/>
        <v>0.81245801843567211</v>
      </c>
      <c r="BF63" s="86">
        <f t="shared" si="215"/>
        <v>0.88053462849946784</v>
      </c>
      <c r="BG63" s="86">
        <f t="shared" si="215"/>
        <v>1.1822259497357486</v>
      </c>
      <c r="BH63" s="86">
        <f t="shared" si="215"/>
        <v>0.99529921046851755</v>
      </c>
      <c r="BI63" s="86">
        <f t="shared" si="215"/>
        <v>0.90256467155117581</v>
      </c>
      <c r="BJ63" s="86">
        <f t="shared" si="215"/>
        <v>0.51408071391312338</v>
      </c>
      <c r="BK63" s="86">
        <f t="shared" si="215"/>
        <v>0.54192221175464339</v>
      </c>
      <c r="BL63" s="86">
        <f t="shared" si="215"/>
        <v>0.94752807762022062</v>
      </c>
      <c r="BM63" s="86">
        <f t="shared" si="215"/>
        <v>0.1622770235213595</v>
      </c>
      <c r="BN63" s="86">
        <f t="shared" si="215"/>
        <v>0.12095102518499394</v>
      </c>
      <c r="BO63" s="86">
        <f t="shared" si="215"/>
        <v>0</v>
      </c>
      <c r="BP63" s="86">
        <f t="shared" si="215"/>
        <v>0.99989798430587362</v>
      </c>
      <c r="BQ63" s="86">
        <f t="shared" si="215"/>
        <v>0.99987633412259047</v>
      </c>
      <c r="BR63" s="86">
        <f t="shared" si="215"/>
        <v>0.99998942468999108</v>
      </c>
      <c r="BS63" s="86">
        <f t="shared" si="215"/>
        <v>0.99999911032764721</v>
      </c>
      <c r="BT63" s="86">
        <f t="shared" si="215"/>
        <v>0.99999907444869096</v>
      </c>
      <c r="BU63" s="86">
        <f t="shared" si="215"/>
        <v>0.99999987096795373</v>
      </c>
      <c r="BV63" s="86">
        <f t="shared" si="215"/>
        <v>3.7207854689790447</v>
      </c>
      <c r="BW63" s="86">
        <f t="shared" si="215"/>
        <v>1.562613890218411</v>
      </c>
      <c r="BX63" s="86">
        <f t="shared" si="215"/>
        <v>0</v>
      </c>
      <c r="BY63" s="86">
        <f>IFERROR(BY16/BY12,0)</f>
        <v>0.9872637966241844</v>
      </c>
      <c r="BZ63" s="86">
        <f>IFERROR(BZ16/BZ12,0)</f>
        <v>0.99429930092942453</v>
      </c>
      <c r="CA63" s="86">
        <f t="shared" ref="CA63" si="216">IFERROR(CA16/CA12,0)</f>
        <v>0.99924365028257001</v>
      </c>
      <c r="CB63" s="86">
        <f>IFERROR(CB16/CB12,0)</f>
        <v>0.59426138223511538</v>
      </c>
      <c r="CC63" s="86">
        <f>IFERROR(CC16/CC12,0)</f>
        <v>0.57629332386906584</v>
      </c>
      <c r="CD63" s="86">
        <f t="shared" ref="CD63" si="217">IFERROR(CD16/CD12,0)</f>
        <v>0.4309204707595885</v>
      </c>
      <c r="CE63" s="86">
        <f>IFERROR(CE16/CE12,0)</f>
        <v>0</v>
      </c>
      <c r="CF63" s="86">
        <f>IFERROR(CF16/CF12,0)</f>
        <v>0</v>
      </c>
      <c r="CG63" s="86">
        <f t="shared" ref="CG63" si="218">IFERROR(CG16/CG12,0)</f>
        <v>0.62001405560136125</v>
      </c>
      <c r="CH63" s="86">
        <f t="shared" si="215"/>
        <v>0.57136387198483329</v>
      </c>
      <c r="CI63" s="86">
        <f t="shared" si="215"/>
        <v>0.54052610600399076</v>
      </c>
      <c r="CJ63" s="86">
        <f t="shared" ref="CJ63" si="219">IFERROR(CJ16/CJ12,0)</f>
        <v>0.57584080948905136</v>
      </c>
    </row>
    <row r="64" spans="1:88" x14ac:dyDescent="0.2">
      <c r="A64" s="207" t="s">
        <v>107</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c r="BX64" s="208"/>
      <c r="BY64" s="208"/>
      <c r="BZ64" s="208"/>
      <c r="CA64" s="208"/>
      <c r="CB64" s="208"/>
      <c r="CC64" s="208"/>
      <c r="CD64" s="208"/>
      <c r="CE64" s="208"/>
      <c r="CF64" s="208"/>
      <c r="CG64" s="208"/>
      <c r="CH64" s="208"/>
      <c r="CI64" s="208"/>
      <c r="CJ64" s="208"/>
    </row>
    <row r="65" spans="1:88" x14ac:dyDescent="0.2">
      <c r="A65" s="96" t="s">
        <v>79</v>
      </c>
      <c r="B65" s="86">
        <f t="shared" ref="B65:AV65" si="220">IFERROR(B12/B16,0)</f>
        <v>1.331990172854735</v>
      </c>
      <c r="C65" s="86">
        <f t="shared" si="220"/>
        <v>1.2387722451612833</v>
      </c>
      <c r="D65" s="86">
        <f t="shared" ref="D65" si="221">IFERROR(D12/D16,0)</f>
        <v>1.3296633716034933</v>
      </c>
      <c r="E65" s="86">
        <f t="shared" si="220"/>
        <v>1.8357258891502921</v>
      </c>
      <c r="F65" s="86">
        <f t="shared" si="220"/>
        <v>1.8609994563913119</v>
      </c>
      <c r="G65" s="86">
        <f t="shared" si="220"/>
        <v>1.9119764462705486</v>
      </c>
      <c r="H65" s="86">
        <f t="shared" si="220"/>
        <v>1.5181395908305655</v>
      </c>
      <c r="I65" s="86">
        <f t="shared" si="220"/>
        <v>1.6950982537842871</v>
      </c>
      <c r="J65" s="86">
        <f t="shared" ref="J65" si="222">IFERROR(J12/J16,0)</f>
        <v>1.7860051501271563</v>
      </c>
      <c r="K65" s="86">
        <f t="shared" si="220"/>
        <v>1.0995533121419843</v>
      </c>
      <c r="L65" s="86">
        <f t="shared" si="220"/>
        <v>1.0992497578182197</v>
      </c>
      <c r="M65" s="86">
        <f t="shared" si="220"/>
        <v>0</v>
      </c>
      <c r="N65" s="86">
        <f t="shared" si="220"/>
        <v>3.5108768664358516</v>
      </c>
      <c r="O65" s="86">
        <f t="shared" si="220"/>
        <v>4.6650382482699584</v>
      </c>
      <c r="P65" s="86">
        <f t="shared" ref="P65" si="223">IFERROR(P12/P16,0)</f>
        <v>2.427740425497285</v>
      </c>
      <c r="Q65" s="86">
        <f t="shared" si="220"/>
        <v>1.001199276610752</v>
      </c>
      <c r="R65" s="86">
        <f t="shared" si="220"/>
        <v>1.0010397169682923</v>
      </c>
      <c r="S65" s="86">
        <f t="shared" ref="S65" si="224">IFERROR(S12/S16,0)</f>
        <v>1.0007097688992601</v>
      </c>
      <c r="T65" s="86">
        <f t="shared" si="220"/>
        <v>2.1551850009223492</v>
      </c>
      <c r="U65" s="86">
        <f t="shared" si="220"/>
        <v>6.001726792854563</v>
      </c>
      <c r="V65" s="86">
        <f t="shared" si="220"/>
        <v>1.4706582256087544</v>
      </c>
      <c r="W65" s="86">
        <f t="shared" si="220"/>
        <v>1.4157814534483555</v>
      </c>
      <c r="X65" s="86">
        <f t="shared" si="220"/>
        <v>1.4111323955628898</v>
      </c>
      <c r="Y65" s="86">
        <f t="shared" ref="Y65" si="225">IFERROR(Y12/Y16,0)</f>
        <v>1.4756850880480534</v>
      </c>
      <c r="Z65" s="86">
        <f t="shared" si="220"/>
        <v>0.17405605140901137</v>
      </c>
      <c r="AA65" s="86">
        <f t="shared" si="220"/>
        <v>0.12712711336603311</v>
      </c>
      <c r="AB65" s="86">
        <f t="shared" ref="AB65" si="226">IFERROR(AB12/AB16,0)</f>
        <v>0.71416913316829855</v>
      </c>
      <c r="AC65" s="86">
        <f t="shared" si="220"/>
        <v>2.3536613723377027</v>
      </c>
      <c r="AD65" s="86">
        <f t="shared" si="220"/>
        <v>4.9976636576165054</v>
      </c>
      <c r="AE65" s="86">
        <f t="shared" ref="AE65" si="227">IFERROR(AE12/AE16,0)</f>
        <v>3.27682429721466</v>
      </c>
      <c r="AF65" s="86">
        <f t="shared" si="220"/>
        <v>0.12959994800106953</v>
      </c>
      <c r="AG65" s="86">
        <f t="shared" si="220"/>
        <v>0.13021531721905913</v>
      </c>
      <c r="AH65" s="86">
        <f t="shared" ref="AH65" si="228">IFERROR(AH12/AH16,0)</f>
        <v>0.10068466983980702</v>
      </c>
      <c r="AI65" s="86">
        <f t="shared" si="220"/>
        <v>1.9386639349742363</v>
      </c>
      <c r="AJ65" s="86">
        <f t="shared" si="220"/>
        <v>1.7121752652629225</v>
      </c>
      <c r="AK65" s="86">
        <f t="shared" ref="AK65" si="229">IFERROR(AK12/AK16,0)</f>
        <v>2.0592868083504912</v>
      </c>
      <c r="AL65" s="86">
        <f t="shared" si="220"/>
        <v>0.53921327004061159</v>
      </c>
      <c r="AM65" s="86">
        <f t="shared" si="220"/>
        <v>0.50572174130153025</v>
      </c>
      <c r="AN65" s="86">
        <f t="shared" ref="AN65" si="230">IFERROR(AN12/AN16,0)</f>
        <v>0.85216331780699572</v>
      </c>
      <c r="AO65" s="86">
        <f t="shared" si="220"/>
        <v>1.6119554729022489</v>
      </c>
      <c r="AP65" s="86">
        <f t="shared" si="220"/>
        <v>1.7280250079242199</v>
      </c>
      <c r="AQ65" s="86">
        <f t="shared" ref="AQ65" si="231">IFERROR(AQ12/AQ16,0)</f>
        <v>0</v>
      </c>
      <c r="AR65" s="86">
        <f t="shared" si="220"/>
        <v>14.47678060919354</v>
      </c>
      <c r="AS65" s="86">
        <f t="shared" si="220"/>
        <v>15.157009994384833</v>
      </c>
      <c r="AT65" s="86">
        <f t="shared" ref="AT65" si="232">IFERROR(AT12/AT16,0)</f>
        <v>6.4283473601004477</v>
      </c>
      <c r="AU65" s="86">
        <f t="shared" si="220"/>
        <v>6.8735955468941912</v>
      </c>
      <c r="AV65" s="86">
        <f t="shared" si="220"/>
        <v>17.440448561277822</v>
      </c>
      <c r="AW65" s="86">
        <f t="shared" ref="AW65" si="233">IFERROR(AW12/AW16,0)</f>
        <v>-176.93938010161651</v>
      </c>
      <c r="AX65" s="86">
        <f t="shared" ref="AX65:CI65" si="234">IFERROR(AX12/AX16,0)</f>
        <v>2.906677768723104</v>
      </c>
      <c r="AY65" s="86">
        <f t="shared" si="234"/>
        <v>5.0194177125472823</v>
      </c>
      <c r="AZ65" s="86">
        <f t="shared" si="234"/>
        <v>1.8697995348878766</v>
      </c>
      <c r="BA65" s="86">
        <f t="shared" si="234"/>
        <v>3.4739873166356068</v>
      </c>
      <c r="BB65" s="86">
        <f t="shared" si="234"/>
        <v>4.2971094962306084</v>
      </c>
      <c r="BC65" s="86">
        <f t="shared" si="234"/>
        <v>3.2694808001681062</v>
      </c>
      <c r="BD65" s="86">
        <f t="shared" si="234"/>
        <v>0.94297678053088629</v>
      </c>
      <c r="BE65" s="86">
        <f t="shared" si="234"/>
        <v>1.2308328274307958</v>
      </c>
      <c r="BF65" s="86">
        <f t="shared" si="234"/>
        <v>1.1356736778247041</v>
      </c>
      <c r="BG65" s="86">
        <f t="shared" si="234"/>
        <v>0.84586199467497747</v>
      </c>
      <c r="BH65" s="86">
        <f t="shared" si="234"/>
        <v>1.0047229913196352</v>
      </c>
      <c r="BI65" s="86">
        <f t="shared" si="234"/>
        <v>1.1079538469873509</v>
      </c>
      <c r="BJ65" s="86">
        <f t="shared" si="234"/>
        <v>1.9452198320923477</v>
      </c>
      <c r="BK65" s="86">
        <f t="shared" si="234"/>
        <v>1.8452832866218674</v>
      </c>
      <c r="BL65" s="86">
        <f t="shared" si="234"/>
        <v>1.055377696576091</v>
      </c>
      <c r="BM65" s="86">
        <f t="shared" si="234"/>
        <v>6.1623018360844926</v>
      </c>
      <c r="BN65" s="86">
        <f t="shared" si="234"/>
        <v>8.2678092101369582</v>
      </c>
      <c r="BO65" s="86">
        <f t="shared" si="234"/>
        <v>0</v>
      </c>
      <c r="BP65" s="86">
        <f t="shared" si="234"/>
        <v>1.0001020261023901</v>
      </c>
      <c r="BQ65" s="86">
        <f t="shared" si="234"/>
        <v>1.0001236811725502</v>
      </c>
      <c r="BR65" s="86">
        <f t="shared" si="234"/>
        <v>1.0000105754218473</v>
      </c>
      <c r="BS65" s="86">
        <f t="shared" si="234"/>
        <v>1.0000008896731443</v>
      </c>
      <c r="BT65" s="86">
        <f t="shared" si="234"/>
        <v>1.0000009255521656</v>
      </c>
      <c r="BU65" s="86">
        <f t="shared" si="234"/>
        <v>1.000000129032063</v>
      </c>
      <c r="BV65" s="86">
        <f t="shared" si="234"/>
        <v>0.26876045618249322</v>
      </c>
      <c r="BW65" s="86">
        <f t="shared" si="234"/>
        <v>0.63995335396655606</v>
      </c>
      <c r="BX65" s="86">
        <f t="shared" si="234"/>
        <v>0</v>
      </c>
      <c r="BY65" s="86">
        <f>IFERROR(BY12/BY16,0)</f>
        <v>1.012900506854769</v>
      </c>
      <c r="BZ65" s="86">
        <f>IFERROR(BZ12/BZ16,0)</f>
        <v>1.0057333833637887</v>
      </c>
      <c r="CA65" s="86">
        <f t="shared" ref="CA65" si="235">IFERROR(CA12/CA16,0)</f>
        <v>1.0007569222153336</v>
      </c>
      <c r="CB65" s="86">
        <f>IFERROR(CB12/CB16,0)</f>
        <v>1.6827612055806733</v>
      </c>
      <c r="CC65" s="86">
        <f>IFERROR(CC12/CC16,0)</f>
        <v>1.7352274589722654</v>
      </c>
      <c r="CD65" s="86">
        <f t="shared" ref="CD65" si="236">IFERROR(CD12/CD16,0)</f>
        <v>2.3206138205439357</v>
      </c>
      <c r="CE65" s="86">
        <f>IFERROR(CE12/CE16,0)</f>
        <v>0</v>
      </c>
      <c r="CF65" s="86">
        <f>IFERROR(CF12/CF16,0)</f>
        <v>0</v>
      </c>
      <c r="CG65" s="86">
        <f t="shared" ref="CG65" si="237">IFERROR(CG12/CG16,0)</f>
        <v>1.6128666615954126</v>
      </c>
      <c r="CH65" s="86">
        <f t="shared" si="234"/>
        <v>1.7501981644834288</v>
      </c>
      <c r="CI65" s="86">
        <f t="shared" si="234"/>
        <v>1.8500494035206081</v>
      </c>
      <c r="CJ65" s="86">
        <f t="shared" ref="CJ65" si="238">IFERROR(CJ12/CJ16,0)</f>
        <v>1.7365910569751193</v>
      </c>
    </row>
    <row r="66" spans="1:88" x14ac:dyDescent="0.2">
      <c r="A66" s="96" t="s">
        <v>80</v>
      </c>
      <c r="B66" s="86">
        <f t="shared" ref="B66:AV66" si="239">IFERROR(B12/B14,0)</f>
        <v>1.331990172854735</v>
      </c>
      <c r="C66" s="86">
        <f t="shared" si="239"/>
        <v>1.2387722451612833</v>
      </c>
      <c r="D66" s="86">
        <f t="shared" ref="D66" si="240">IFERROR(D12/D14,0)</f>
        <v>1.3296633716034933</v>
      </c>
      <c r="E66" s="86">
        <f t="shared" si="239"/>
        <v>1.8359159552976585</v>
      </c>
      <c r="F66" s="86">
        <f t="shared" si="239"/>
        <v>1.8612527674154786</v>
      </c>
      <c r="G66" s="86">
        <f t="shared" si="239"/>
        <v>1.9119764462705486</v>
      </c>
      <c r="H66" s="86">
        <f t="shared" si="239"/>
        <v>1.5181395908305655</v>
      </c>
      <c r="I66" s="86">
        <f t="shared" si="239"/>
        <v>1.6950982537842871</v>
      </c>
      <c r="J66" s="86">
        <f t="shared" ref="J66" si="241">IFERROR(J12/J14,0)</f>
        <v>1.7860051501271563</v>
      </c>
      <c r="K66" s="86">
        <f t="shared" si="239"/>
        <v>1.0995533121419843</v>
      </c>
      <c r="L66" s="86">
        <f t="shared" si="239"/>
        <v>1.0992497578182197</v>
      </c>
      <c r="M66" s="86">
        <f t="shared" si="239"/>
        <v>0</v>
      </c>
      <c r="N66" s="86">
        <f t="shared" si="239"/>
        <v>3.5108768664358516</v>
      </c>
      <c r="O66" s="86">
        <f t="shared" si="239"/>
        <v>4.6650382482699584</v>
      </c>
      <c r="P66" s="86">
        <f t="shared" ref="P66" si="242">IFERROR(P12/P14,0)</f>
        <v>2.427740425497285</v>
      </c>
      <c r="Q66" s="86">
        <f t="shared" si="239"/>
        <v>1.001199276610752</v>
      </c>
      <c r="R66" s="86">
        <f t="shared" si="239"/>
        <v>1.0010397169682923</v>
      </c>
      <c r="S66" s="86">
        <f t="shared" ref="S66" si="243">IFERROR(S12/S14,0)</f>
        <v>1.0007097688992601</v>
      </c>
      <c r="T66" s="86">
        <f t="shared" si="239"/>
        <v>2.1551850009223492</v>
      </c>
      <c r="U66" s="86">
        <f t="shared" si="239"/>
        <v>6.001726792854563</v>
      </c>
      <c r="V66" s="86">
        <f t="shared" si="239"/>
        <v>1.4706582256087544</v>
      </c>
      <c r="W66" s="86">
        <f t="shared" si="239"/>
        <v>1.4157814534483555</v>
      </c>
      <c r="X66" s="86">
        <f t="shared" si="239"/>
        <v>1.4111323955628898</v>
      </c>
      <c r="Y66" s="86">
        <f t="shared" ref="Y66" si="244">IFERROR(Y12/Y14,0)</f>
        <v>1.4756850880480534</v>
      </c>
      <c r="Z66" s="86">
        <f t="shared" si="239"/>
        <v>0.22527710496225861</v>
      </c>
      <c r="AA66" s="86">
        <f t="shared" si="239"/>
        <v>0.12712711336603311</v>
      </c>
      <c r="AB66" s="86">
        <f t="shared" ref="AB66" si="245">IFERROR(AB12/AB14,0)</f>
        <v>0.71416913316829855</v>
      </c>
      <c r="AC66" s="86">
        <f t="shared" si="239"/>
        <v>2.3536613723377027</v>
      </c>
      <c r="AD66" s="86">
        <f t="shared" si="239"/>
        <v>4.9976636576165054</v>
      </c>
      <c r="AE66" s="86">
        <f t="shared" ref="AE66" si="246">IFERROR(AE12/AE14,0)</f>
        <v>3.27682429721466</v>
      </c>
      <c r="AF66" s="86">
        <f t="shared" si="239"/>
        <v>0.12959994800106953</v>
      </c>
      <c r="AG66" s="86">
        <f t="shared" si="239"/>
        <v>0.13021531721905913</v>
      </c>
      <c r="AH66" s="86">
        <f t="shared" ref="AH66" si="247">IFERROR(AH12/AH14,0)</f>
        <v>0.10068466983980702</v>
      </c>
      <c r="AI66" s="86">
        <f t="shared" si="239"/>
        <v>1.9386639349742363</v>
      </c>
      <c r="AJ66" s="86">
        <f t="shared" si="239"/>
        <v>1.7121752652629225</v>
      </c>
      <c r="AK66" s="86">
        <f t="shared" ref="AK66" si="248">IFERROR(AK12/AK14,0)</f>
        <v>2.0592868083504912</v>
      </c>
      <c r="AL66" s="86">
        <f t="shared" si="239"/>
        <v>0.53921327004061159</v>
      </c>
      <c r="AM66" s="86">
        <f t="shared" si="239"/>
        <v>0.50572174130153025</v>
      </c>
      <c r="AN66" s="86">
        <f t="shared" ref="AN66" si="249">IFERROR(AN12/AN14,0)</f>
        <v>0.85216331780699572</v>
      </c>
      <c r="AO66" s="86">
        <f t="shared" si="239"/>
        <v>1.6119554729022489</v>
      </c>
      <c r="AP66" s="86">
        <f t="shared" si="239"/>
        <v>1.7280250079242199</v>
      </c>
      <c r="AQ66" s="86">
        <f t="shared" ref="AQ66" si="250">IFERROR(AQ12/AQ14,0)</f>
        <v>0</v>
      </c>
      <c r="AR66" s="86">
        <f t="shared" si="239"/>
        <v>14.47678060919354</v>
      </c>
      <c r="AS66" s="86">
        <f t="shared" si="239"/>
        <v>15.157009994384833</v>
      </c>
      <c r="AT66" s="86">
        <f t="shared" ref="AT66" si="251">IFERROR(AT12/AT14,0)</f>
        <v>6.4283473601004477</v>
      </c>
      <c r="AU66" s="86">
        <f t="shared" si="239"/>
        <v>6.8735955468941912</v>
      </c>
      <c r="AV66" s="86">
        <f t="shared" si="239"/>
        <v>17.440448561277822</v>
      </c>
      <c r="AW66" s="86">
        <f t="shared" ref="AW66" si="252">IFERROR(AW12/AW14,0)</f>
        <v>-176.93938010161651</v>
      </c>
      <c r="AX66" s="86">
        <f t="shared" ref="AX66:CI66" si="253">IFERROR(AX12/AX14,0)</f>
        <v>2.9227868667863497</v>
      </c>
      <c r="AY66" s="86">
        <f t="shared" si="253"/>
        <v>5.023248133912003</v>
      </c>
      <c r="AZ66" s="86">
        <f t="shared" si="253"/>
        <v>2.2480659710528741</v>
      </c>
      <c r="BA66" s="86">
        <f t="shared" si="253"/>
        <v>3.4739873166356068</v>
      </c>
      <c r="BB66" s="86">
        <f t="shared" si="253"/>
        <v>4.2971094962306084</v>
      </c>
      <c r="BC66" s="86">
        <f t="shared" si="253"/>
        <v>3.2694808001681062</v>
      </c>
      <c r="BD66" s="86">
        <f t="shared" si="253"/>
        <v>3.1583235870839661</v>
      </c>
      <c r="BE66" s="86">
        <f t="shared" si="253"/>
        <v>2.532529531350201</v>
      </c>
      <c r="BF66" s="86">
        <f t="shared" si="253"/>
        <v>1.2797324844141102</v>
      </c>
      <c r="BG66" s="86">
        <f t="shared" si="253"/>
        <v>0.84586199467497747</v>
      </c>
      <c r="BH66" s="86">
        <f t="shared" si="253"/>
        <v>1.0047229913196352</v>
      </c>
      <c r="BI66" s="86">
        <f t="shared" si="253"/>
        <v>1.1079538469873509</v>
      </c>
      <c r="BJ66" s="86">
        <f t="shared" si="253"/>
        <v>1.9452198320923477</v>
      </c>
      <c r="BK66" s="86">
        <f t="shared" si="253"/>
        <v>1.8452832866218674</v>
      </c>
      <c r="BL66" s="86">
        <f t="shared" si="253"/>
        <v>1.055377696576091</v>
      </c>
      <c r="BM66" s="86">
        <f t="shared" si="253"/>
        <v>6.1623018360844926</v>
      </c>
      <c r="BN66" s="86">
        <f t="shared" si="253"/>
        <v>8.2678092101369582</v>
      </c>
      <c r="BO66" s="86">
        <f t="shared" si="253"/>
        <v>0</v>
      </c>
      <c r="BP66" s="86">
        <f t="shared" si="253"/>
        <v>1.0001020261023901</v>
      </c>
      <c r="BQ66" s="86">
        <f t="shared" si="253"/>
        <v>1.0001236811725502</v>
      </c>
      <c r="BR66" s="86">
        <f t="shared" si="253"/>
        <v>1.0000105754218473</v>
      </c>
      <c r="BS66" s="86">
        <f t="shared" si="253"/>
        <v>3.167779953708322</v>
      </c>
      <c r="BT66" s="86">
        <f t="shared" si="253"/>
        <v>1.8816175502905097</v>
      </c>
      <c r="BU66" s="86">
        <f t="shared" si="253"/>
        <v>1.000000129032063</v>
      </c>
      <c r="BV66" s="86">
        <f t="shared" si="253"/>
        <v>0.26876045618249322</v>
      </c>
      <c r="BW66" s="86">
        <f t="shared" si="253"/>
        <v>2.8874683165575692</v>
      </c>
      <c r="BX66" s="86">
        <f t="shared" si="253"/>
        <v>0</v>
      </c>
      <c r="BY66" s="86">
        <f>IFERROR(BY12/BY14,0)</f>
        <v>1.3018403340874698</v>
      </c>
      <c r="BZ66" s="86">
        <f>IFERROR(BZ12/BZ14,0)</f>
        <v>1.1232024174951667</v>
      </c>
      <c r="CA66" s="86">
        <f t="shared" ref="CA66" si="254">IFERROR(CA12/CA14,0)</f>
        <v>1.0007569222153336</v>
      </c>
      <c r="CB66" s="86">
        <f>IFERROR(CB12/CB14,0)</f>
        <v>1.7031520875375568</v>
      </c>
      <c r="CC66" s="86">
        <f>IFERROR(CC12/CC14,0)</f>
        <v>1.7578592884388433</v>
      </c>
      <c r="CD66" s="86">
        <f t="shared" ref="CD66" si="255">IFERROR(CD12/CD14,0)</f>
        <v>2.350229135298342</v>
      </c>
      <c r="CE66" s="86">
        <f>IFERROR(CE12/CE14,0)</f>
        <v>0</v>
      </c>
      <c r="CF66" s="86">
        <f>IFERROR(CF12/CF14,0)</f>
        <v>0</v>
      </c>
      <c r="CG66" s="86">
        <f t="shared" ref="CG66" si="256">IFERROR(CG12/CG14,0)</f>
        <v>1.6128666615954126</v>
      </c>
      <c r="CH66" s="86">
        <f t="shared" si="253"/>
        <v>1.7842991283494933</v>
      </c>
      <c r="CI66" s="86">
        <f t="shared" si="253"/>
        <v>1.8757453439570861</v>
      </c>
      <c r="CJ66" s="86">
        <f t="shared" ref="CJ66" si="257">IFERROR(CJ12/CJ14,0)</f>
        <v>1.7505239036841205</v>
      </c>
    </row>
    <row r="67" spans="1:88" x14ac:dyDescent="0.2">
      <c r="A67" s="207" t="s">
        <v>108</v>
      </c>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208"/>
      <c r="CC67" s="208"/>
      <c r="CD67" s="208"/>
      <c r="CE67" s="208"/>
      <c r="CF67" s="208"/>
      <c r="CG67" s="208"/>
      <c r="CH67" s="208"/>
      <c r="CI67" s="208"/>
      <c r="CJ67" s="208"/>
    </row>
    <row r="68" spans="1:88" x14ac:dyDescent="0.2">
      <c r="A68" s="96" t="s">
        <v>82</v>
      </c>
      <c r="B68" s="86">
        <f t="shared" ref="B68:AV69" si="258">IFERROR(B11/B15,0)</f>
        <v>0</v>
      </c>
      <c r="C68" s="86">
        <f t="shared" si="258"/>
        <v>0</v>
      </c>
      <c r="D68" s="86">
        <f t="shared" ref="D68" si="259">IFERROR(D11/D15,0)</f>
        <v>0</v>
      </c>
      <c r="E68" s="86">
        <f t="shared" si="258"/>
        <v>0.6770480704129993</v>
      </c>
      <c r="F68" s="86">
        <f t="shared" si="258"/>
        <v>0.6770480704129993</v>
      </c>
      <c r="G68" s="86">
        <f t="shared" si="258"/>
        <v>0</v>
      </c>
      <c r="H68" s="86">
        <f t="shared" si="258"/>
        <v>0</v>
      </c>
      <c r="I68" s="86">
        <f t="shared" si="258"/>
        <v>0</v>
      </c>
      <c r="J68" s="86">
        <f t="shared" ref="J68" si="260">IFERROR(J11/J15,0)</f>
        <v>0</v>
      </c>
      <c r="K68" s="86">
        <f t="shared" si="258"/>
        <v>0</v>
      </c>
      <c r="L68" s="86">
        <f t="shared" si="258"/>
        <v>0</v>
      </c>
      <c r="M68" s="86">
        <f t="shared" si="258"/>
        <v>0</v>
      </c>
      <c r="N68" s="86">
        <f t="shared" si="258"/>
        <v>0</v>
      </c>
      <c r="O68" s="86">
        <f t="shared" si="258"/>
        <v>0</v>
      </c>
      <c r="P68" s="86">
        <f t="shared" ref="P68:P69" si="261">IFERROR(P11/P15,0)</f>
        <v>0</v>
      </c>
      <c r="Q68" s="86">
        <f t="shared" si="258"/>
        <v>0</v>
      </c>
      <c r="R68" s="86">
        <f t="shared" si="258"/>
        <v>0</v>
      </c>
      <c r="S68" s="86">
        <f t="shared" ref="S68" si="262">IFERROR(S11/S15,0)</f>
        <v>0</v>
      </c>
      <c r="T68" s="86">
        <f t="shared" si="258"/>
        <v>0</v>
      </c>
      <c r="U68" s="86">
        <f t="shared" si="258"/>
        <v>0</v>
      </c>
      <c r="V68" s="86">
        <f t="shared" si="258"/>
        <v>0</v>
      </c>
      <c r="W68" s="86">
        <f t="shared" si="258"/>
        <v>0</v>
      </c>
      <c r="X68" s="86">
        <f t="shared" si="258"/>
        <v>0</v>
      </c>
      <c r="Y68" s="86">
        <f t="shared" ref="Y68" si="263">IFERROR(Y11/Y15,0)</f>
        <v>0</v>
      </c>
      <c r="Z68" s="86">
        <f t="shared" si="258"/>
        <v>0</v>
      </c>
      <c r="AA68" s="86">
        <f t="shared" si="258"/>
        <v>0</v>
      </c>
      <c r="AB68" s="86">
        <f t="shared" ref="AB68" si="264">IFERROR(AB11/AB15,0)</f>
        <v>0</v>
      </c>
      <c r="AC68" s="86">
        <f t="shared" si="258"/>
        <v>0</v>
      </c>
      <c r="AD68" s="86">
        <f t="shared" si="258"/>
        <v>0</v>
      </c>
      <c r="AE68" s="86">
        <f t="shared" ref="AE68" si="265">IFERROR(AE11/AE15,0)</f>
        <v>0</v>
      </c>
      <c r="AF68" s="86">
        <f t="shared" si="258"/>
        <v>0</v>
      </c>
      <c r="AG68" s="86">
        <f t="shared" si="258"/>
        <v>0</v>
      </c>
      <c r="AH68" s="86">
        <f t="shared" ref="AH68" si="266">IFERROR(AH11/AH15,0)</f>
        <v>0</v>
      </c>
      <c r="AI68" s="86">
        <f t="shared" si="258"/>
        <v>0</v>
      </c>
      <c r="AJ68" s="86">
        <f t="shared" si="258"/>
        <v>0</v>
      </c>
      <c r="AK68" s="86">
        <f t="shared" ref="AK68" si="267">IFERROR(AK11/AK15,0)</f>
        <v>0</v>
      </c>
      <c r="AL68" s="86">
        <f t="shared" si="258"/>
        <v>0</v>
      </c>
      <c r="AM68" s="86">
        <f t="shared" si="258"/>
        <v>0</v>
      </c>
      <c r="AN68" s="86">
        <f t="shared" ref="AN68" si="268">IFERROR(AN11/AN15,0)</f>
        <v>0</v>
      </c>
      <c r="AO68" s="86">
        <f t="shared" si="258"/>
        <v>0</v>
      </c>
      <c r="AP68" s="86">
        <f t="shared" si="258"/>
        <v>0</v>
      </c>
      <c r="AQ68" s="86">
        <f t="shared" ref="AQ68" si="269">IFERROR(AQ11/AQ15,0)</f>
        <v>0</v>
      </c>
      <c r="AR68" s="86">
        <f t="shared" si="258"/>
        <v>0</v>
      </c>
      <c r="AS68" s="86">
        <f t="shared" si="258"/>
        <v>0</v>
      </c>
      <c r="AT68" s="86">
        <f t="shared" ref="AT68" si="270">IFERROR(AT11/AT15,0)</f>
        <v>0</v>
      </c>
      <c r="AU68" s="86">
        <f t="shared" si="258"/>
        <v>0</v>
      </c>
      <c r="AV68" s="86">
        <f t="shared" si="258"/>
        <v>0</v>
      </c>
      <c r="AW68" s="86">
        <f t="shared" ref="AW68" si="271">IFERROR(AW11/AW15,0)</f>
        <v>0</v>
      </c>
      <c r="AX68" s="86">
        <f t="shared" ref="AX68:CI68" si="272">IFERROR(AX11/AX15,0)</f>
        <v>2.3513523229757096</v>
      </c>
      <c r="AY68" s="86">
        <f t="shared" si="272"/>
        <v>172.12510602205259</v>
      </c>
      <c r="AZ68" s="86">
        <f t="shared" si="272"/>
        <v>0.25442273931745102</v>
      </c>
      <c r="BA68" s="86">
        <f t="shared" si="272"/>
        <v>0</v>
      </c>
      <c r="BB68" s="86">
        <f t="shared" si="272"/>
        <v>0</v>
      </c>
      <c r="BC68" s="86">
        <f t="shared" si="272"/>
        <v>0</v>
      </c>
      <c r="BD68" s="86">
        <f t="shared" si="272"/>
        <v>1.303151229015114E-3</v>
      </c>
      <c r="BE68" s="86">
        <f t="shared" si="272"/>
        <v>1.0239654574762395E-2</v>
      </c>
      <c r="BF68" s="86">
        <f t="shared" si="272"/>
        <v>1.3451720075313596E-2</v>
      </c>
      <c r="BG68" s="86">
        <f t="shared" si="272"/>
        <v>0</v>
      </c>
      <c r="BH68" s="86">
        <f t="shared" si="272"/>
        <v>0</v>
      </c>
      <c r="BI68" s="86">
        <f t="shared" si="272"/>
        <v>0</v>
      </c>
      <c r="BJ68" s="86">
        <f t="shared" si="272"/>
        <v>0</v>
      </c>
      <c r="BK68" s="86">
        <f t="shared" si="272"/>
        <v>0</v>
      </c>
      <c r="BL68" s="86">
        <f t="shared" si="272"/>
        <v>0</v>
      </c>
      <c r="BM68" s="86">
        <f t="shared" si="272"/>
        <v>0</v>
      </c>
      <c r="BN68" s="86">
        <f t="shared" si="272"/>
        <v>0</v>
      </c>
      <c r="BO68" s="86">
        <f t="shared" si="272"/>
        <v>0</v>
      </c>
      <c r="BP68" s="86">
        <f t="shared" si="272"/>
        <v>0</v>
      </c>
      <c r="BQ68" s="86">
        <f t="shared" si="272"/>
        <v>0</v>
      </c>
      <c r="BR68" s="86">
        <f t="shared" si="272"/>
        <v>0</v>
      </c>
      <c r="BS68" s="86">
        <f t="shared" si="272"/>
        <v>3.1147819050225335E-2</v>
      </c>
      <c r="BT68" s="86">
        <f t="shared" si="272"/>
        <v>4.8685452177102323E-2</v>
      </c>
      <c r="BU68" s="86">
        <f t="shared" si="272"/>
        <v>0</v>
      </c>
      <c r="BV68" s="86">
        <f t="shared" si="272"/>
        <v>0</v>
      </c>
      <c r="BW68" s="86">
        <f t="shared" si="272"/>
        <v>0.57257317037945477</v>
      </c>
      <c r="BX68" s="86">
        <f t="shared" si="272"/>
        <v>0</v>
      </c>
      <c r="BY68" s="86">
        <f t="shared" ref="BY68:CD69" si="273">IFERROR(BY11/BY15,0)</f>
        <v>0.12215460813317998</v>
      </c>
      <c r="BZ68" s="86">
        <f t="shared" si="273"/>
        <v>4.7719235761495487</v>
      </c>
      <c r="CA68" s="86">
        <f t="shared" si="273"/>
        <v>0</v>
      </c>
      <c r="CB68" s="86">
        <f t="shared" si="273"/>
        <v>5.6827137048993031</v>
      </c>
      <c r="CC68" s="86">
        <f t="shared" si="273"/>
        <v>5.5820385759032627</v>
      </c>
      <c r="CD68" s="86">
        <f t="shared" si="273"/>
        <v>7.7971546008999857</v>
      </c>
      <c r="CE68" s="86">
        <f t="shared" ref="CE68:CG68" si="274">IFERROR(CE11/CE15,0)</f>
        <v>0</v>
      </c>
      <c r="CF68" s="86">
        <f t="shared" si="274"/>
        <v>0</v>
      </c>
      <c r="CG68" s="86">
        <f t="shared" si="274"/>
        <v>0</v>
      </c>
      <c r="CH68" s="86">
        <f t="shared" si="272"/>
        <v>0.66875254521760197</v>
      </c>
      <c r="CI68" s="86">
        <f t="shared" si="272"/>
        <v>1.4221761827524799</v>
      </c>
      <c r="CJ68" s="86">
        <f t="shared" ref="CJ68" si="275">IFERROR(CJ11/CJ15,0)</f>
        <v>1.3400603345134281</v>
      </c>
    </row>
    <row r="69" spans="1:88" x14ac:dyDescent="0.2">
      <c r="A69" s="96" t="s">
        <v>83</v>
      </c>
      <c r="B69" s="86">
        <f t="shared" ref="B69:AW69" si="276">IFERROR(B12/B16,0)</f>
        <v>1.331990172854735</v>
      </c>
      <c r="C69" s="86">
        <f t="shared" si="276"/>
        <v>1.2387722451612833</v>
      </c>
      <c r="D69" s="86">
        <f t="shared" ref="D69" si="277">IFERROR(D12/D16,0)</f>
        <v>1.3296633716034933</v>
      </c>
      <c r="E69" s="86">
        <f t="shared" si="276"/>
        <v>1.8357258891502921</v>
      </c>
      <c r="F69" s="86">
        <f t="shared" si="276"/>
        <v>1.8609994563913119</v>
      </c>
      <c r="G69" s="86">
        <f t="shared" si="258"/>
        <v>1.9119764462705486</v>
      </c>
      <c r="H69" s="86">
        <f t="shared" si="276"/>
        <v>1.5181395908305655</v>
      </c>
      <c r="I69" s="86">
        <f t="shared" si="276"/>
        <v>1.6950982537842871</v>
      </c>
      <c r="J69" s="86">
        <f t="shared" si="276"/>
        <v>1.7860051501271563</v>
      </c>
      <c r="K69" s="86">
        <f t="shared" si="276"/>
        <v>1.0995533121419843</v>
      </c>
      <c r="L69" s="86">
        <f t="shared" si="276"/>
        <v>1.0992497578182197</v>
      </c>
      <c r="M69" s="86">
        <f t="shared" ref="M69" si="278">IFERROR(M12/M16,0)</f>
        <v>0</v>
      </c>
      <c r="N69" s="86">
        <f t="shared" si="276"/>
        <v>3.5108768664358516</v>
      </c>
      <c r="O69" s="86">
        <f t="shared" si="276"/>
        <v>4.6650382482699584</v>
      </c>
      <c r="P69" s="86">
        <f t="shared" si="261"/>
        <v>2.427740425497285</v>
      </c>
      <c r="Q69" s="86">
        <f t="shared" si="276"/>
        <v>1.001199276610752</v>
      </c>
      <c r="R69" s="86">
        <f t="shared" si="276"/>
        <v>1.0010397169682923</v>
      </c>
      <c r="S69" s="86">
        <f t="shared" ref="S69" si="279">IFERROR(S12/S16,0)</f>
        <v>1.0007097688992601</v>
      </c>
      <c r="T69" s="86">
        <f t="shared" si="276"/>
        <v>2.1551850009223492</v>
      </c>
      <c r="U69" s="86">
        <f t="shared" si="276"/>
        <v>6.001726792854563</v>
      </c>
      <c r="V69" s="86">
        <f t="shared" si="258"/>
        <v>1.4706582256087544</v>
      </c>
      <c r="W69" s="86">
        <f t="shared" si="276"/>
        <v>1.4157814534483555</v>
      </c>
      <c r="X69" s="86">
        <f t="shared" si="276"/>
        <v>1.4111323955628898</v>
      </c>
      <c r="Y69" s="86">
        <f t="shared" si="276"/>
        <v>1.4756850880480534</v>
      </c>
      <c r="Z69" s="86">
        <f t="shared" si="276"/>
        <v>0.17405605140901137</v>
      </c>
      <c r="AA69" s="86">
        <f t="shared" si="276"/>
        <v>0.12712711336603311</v>
      </c>
      <c r="AB69" s="86">
        <f t="shared" si="276"/>
        <v>0.71416913316829855</v>
      </c>
      <c r="AC69" s="86">
        <f t="shared" si="276"/>
        <v>2.3536613723377027</v>
      </c>
      <c r="AD69" s="86">
        <f t="shared" si="276"/>
        <v>4.9976636576165054</v>
      </c>
      <c r="AE69" s="86">
        <f t="shared" si="276"/>
        <v>3.27682429721466</v>
      </c>
      <c r="AF69" s="86">
        <f t="shared" si="276"/>
        <v>0.12959994800106953</v>
      </c>
      <c r="AG69" s="86">
        <f t="shared" si="276"/>
        <v>0.13021531721905913</v>
      </c>
      <c r="AH69" s="86">
        <f t="shared" si="276"/>
        <v>0.10068466983980702</v>
      </c>
      <c r="AI69" s="86">
        <f t="shared" si="276"/>
        <v>1.9386639349742363</v>
      </c>
      <c r="AJ69" s="86">
        <f t="shared" si="276"/>
        <v>1.7121752652629225</v>
      </c>
      <c r="AK69" s="86">
        <f t="shared" si="276"/>
        <v>2.0592868083504912</v>
      </c>
      <c r="AL69" s="86">
        <f t="shared" si="276"/>
        <v>0.53921327004061159</v>
      </c>
      <c r="AM69" s="86">
        <f t="shared" si="276"/>
        <v>0.50572174130153025</v>
      </c>
      <c r="AN69" s="86">
        <f t="shared" si="276"/>
        <v>0.85216331780699572</v>
      </c>
      <c r="AO69" s="86">
        <f t="shared" si="276"/>
        <v>1.6119554729022489</v>
      </c>
      <c r="AP69" s="86">
        <f t="shared" si="276"/>
        <v>1.7280250079242199</v>
      </c>
      <c r="AQ69" s="86">
        <f t="shared" si="276"/>
        <v>0</v>
      </c>
      <c r="AR69" s="86">
        <f t="shared" si="276"/>
        <v>14.47678060919354</v>
      </c>
      <c r="AS69" s="86">
        <f t="shared" si="276"/>
        <v>15.157009994384833</v>
      </c>
      <c r="AT69" s="86">
        <f t="shared" si="276"/>
        <v>6.4283473601004477</v>
      </c>
      <c r="AU69" s="86">
        <f t="shared" si="276"/>
        <v>6.8735955468941912</v>
      </c>
      <c r="AV69" s="86">
        <f t="shared" si="276"/>
        <v>17.440448561277822</v>
      </c>
      <c r="AW69" s="86">
        <f t="shared" si="276"/>
        <v>-176.93938010161651</v>
      </c>
      <c r="AX69" s="86">
        <f t="shared" ref="AX69:CI69" si="280">IFERROR(AX12/AX16,0)</f>
        <v>2.906677768723104</v>
      </c>
      <c r="AY69" s="86">
        <f t="shared" si="280"/>
        <v>5.0194177125472823</v>
      </c>
      <c r="AZ69" s="86">
        <f t="shared" si="280"/>
        <v>1.8697995348878766</v>
      </c>
      <c r="BA69" s="86">
        <f t="shared" si="280"/>
        <v>3.4739873166356068</v>
      </c>
      <c r="BB69" s="86">
        <f t="shared" si="280"/>
        <v>4.2971094962306084</v>
      </c>
      <c r="BC69" s="86">
        <f t="shared" si="280"/>
        <v>3.2694808001681062</v>
      </c>
      <c r="BD69" s="86">
        <f t="shared" si="280"/>
        <v>0.94297678053088629</v>
      </c>
      <c r="BE69" s="86">
        <f t="shared" si="280"/>
        <v>1.2308328274307958</v>
      </c>
      <c r="BF69" s="86">
        <f t="shared" si="280"/>
        <v>1.1356736778247041</v>
      </c>
      <c r="BG69" s="86">
        <f t="shared" si="280"/>
        <v>0.84586199467497747</v>
      </c>
      <c r="BH69" s="86">
        <f t="shared" si="280"/>
        <v>1.0047229913196352</v>
      </c>
      <c r="BI69" s="86">
        <f t="shared" si="280"/>
        <v>1.1079538469873509</v>
      </c>
      <c r="BJ69" s="86">
        <f t="shared" si="280"/>
        <v>1.9452198320923477</v>
      </c>
      <c r="BK69" s="86">
        <f t="shared" si="280"/>
        <v>1.8452832866218674</v>
      </c>
      <c r="BL69" s="86">
        <f t="shared" si="280"/>
        <v>1.055377696576091</v>
      </c>
      <c r="BM69" s="86">
        <f t="shared" si="280"/>
        <v>6.1623018360844926</v>
      </c>
      <c r="BN69" s="86">
        <f t="shared" si="280"/>
        <v>8.2678092101369582</v>
      </c>
      <c r="BO69" s="86">
        <f t="shared" si="280"/>
        <v>0</v>
      </c>
      <c r="BP69" s="86">
        <f t="shared" si="280"/>
        <v>1.0001020261023901</v>
      </c>
      <c r="BQ69" s="86">
        <f t="shared" si="280"/>
        <v>1.0001236811725502</v>
      </c>
      <c r="BR69" s="86">
        <f t="shared" si="280"/>
        <v>1.0000105754218473</v>
      </c>
      <c r="BS69" s="86">
        <f t="shared" si="280"/>
        <v>1.0000008896731443</v>
      </c>
      <c r="BT69" s="86">
        <f t="shared" si="280"/>
        <v>1.0000009255521656</v>
      </c>
      <c r="BU69" s="86">
        <f t="shared" si="280"/>
        <v>1.000000129032063</v>
      </c>
      <c r="BV69" s="86">
        <f t="shared" si="280"/>
        <v>0.26876045618249322</v>
      </c>
      <c r="BW69" s="86">
        <f t="shared" si="280"/>
        <v>0.63995335396655606</v>
      </c>
      <c r="BX69" s="86">
        <f t="shared" si="280"/>
        <v>0</v>
      </c>
      <c r="BY69" s="86">
        <f t="shared" si="273"/>
        <v>1.012900506854769</v>
      </c>
      <c r="BZ69" s="86">
        <f t="shared" si="273"/>
        <v>1.0057333833637887</v>
      </c>
      <c r="CA69" s="86">
        <f t="shared" si="273"/>
        <v>1.0007569222153336</v>
      </c>
      <c r="CB69" s="86">
        <f t="shared" si="273"/>
        <v>1.6827612055806733</v>
      </c>
      <c r="CC69" s="86">
        <f t="shared" si="273"/>
        <v>1.7352274589722654</v>
      </c>
      <c r="CD69" s="86">
        <f t="shared" si="273"/>
        <v>2.3206138205439357</v>
      </c>
      <c r="CE69" s="86">
        <f t="shared" ref="CE69:CG69" si="281">IFERROR(CE12/CE16,0)</f>
        <v>0</v>
      </c>
      <c r="CF69" s="86">
        <f t="shared" si="281"/>
        <v>0</v>
      </c>
      <c r="CG69" s="86">
        <f t="shared" si="281"/>
        <v>1.6128666615954126</v>
      </c>
      <c r="CH69" s="86">
        <f t="shared" si="280"/>
        <v>1.7501981644834288</v>
      </c>
      <c r="CI69" s="86">
        <f t="shared" si="280"/>
        <v>1.8500494035206081</v>
      </c>
      <c r="CJ69" s="86">
        <f t="shared" ref="CJ69" si="282">IFERROR(CJ12/CJ16,0)</f>
        <v>1.7365910569751193</v>
      </c>
    </row>
    <row r="70" spans="1:88" x14ac:dyDescent="0.2">
      <c r="A70" s="207" t="s">
        <v>109</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08"/>
      <c r="BS70" s="208"/>
      <c r="BT70" s="208"/>
      <c r="BU70" s="208"/>
      <c r="BV70" s="208"/>
      <c r="BW70" s="208"/>
      <c r="BX70" s="208"/>
      <c r="BY70" s="208"/>
      <c r="BZ70" s="208"/>
      <c r="CA70" s="208"/>
      <c r="CB70" s="208"/>
      <c r="CC70" s="208"/>
      <c r="CD70" s="208"/>
      <c r="CE70" s="208"/>
      <c r="CF70" s="208"/>
      <c r="CG70" s="208"/>
      <c r="CH70" s="208"/>
      <c r="CI70" s="208"/>
      <c r="CJ70" s="208"/>
    </row>
    <row r="71" spans="1:88" x14ac:dyDescent="0.2">
      <c r="A71" s="96" t="s">
        <v>85</v>
      </c>
      <c r="B71" s="86">
        <f t="shared" ref="B71:AV71" si="283">IFERROR(B32/B12,0)</f>
        <v>0.24924371036702933</v>
      </c>
      <c r="C71" s="86">
        <f t="shared" si="283"/>
        <v>0.19274910791224267</v>
      </c>
      <c r="D71" s="86">
        <f t="shared" ref="D71" si="284">IFERROR(D32/D12,0)</f>
        <v>0.24792994877037131</v>
      </c>
      <c r="E71" s="86">
        <f t="shared" si="283"/>
        <v>0.4552563615786489</v>
      </c>
      <c r="F71" s="86">
        <f t="shared" si="283"/>
        <v>0.46265432987330751</v>
      </c>
      <c r="G71" s="86">
        <f t="shared" si="283"/>
        <v>0.47698100468205357</v>
      </c>
      <c r="H71" s="86">
        <f t="shared" si="283"/>
        <v>0.34129904388244975</v>
      </c>
      <c r="I71" s="86">
        <f t="shared" si="283"/>
        <v>0.41006369526514963</v>
      </c>
      <c r="J71" s="86">
        <f t="shared" ref="J71" si="285">IFERROR(J32/J12,0)</f>
        <v>0.4400912002248123</v>
      </c>
      <c r="K71" s="86">
        <f t="shared" si="283"/>
        <v>9.0539777419295406E-2</v>
      </c>
      <c r="L71" s="86">
        <f t="shared" si="283"/>
        <v>9.0288632871941277E-2</v>
      </c>
      <c r="M71" s="86">
        <f t="shared" si="283"/>
        <v>0</v>
      </c>
      <c r="N71" s="86">
        <f t="shared" si="283"/>
        <v>0.71517087096957255</v>
      </c>
      <c r="O71" s="86">
        <f t="shared" si="283"/>
        <v>0.78563948529878558</v>
      </c>
      <c r="P71" s="86">
        <f t="shared" ref="P71" si="286">IFERROR(P32/P12,0)</f>
        <v>0.58809434917443226</v>
      </c>
      <c r="Q71" s="86">
        <f t="shared" si="283"/>
        <v>1.1978400691737244E-3</v>
      </c>
      <c r="R71" s="86">
        <f t="shared" si="283"/>
        <v>1.0386370796966699E-3</v>
      </c>
      <c r="S71" s="86">
        <f t="shared" ref="S71" si="287">IFERROR(S32/S12,0)</f>
        <v>7.0926548467779859E-4</v>
      </c>
      <c r="T71" s="86">
        <f t="shared" si="283"/>
        <v>0.5360027099427509</v>
      </c>
      <c r="U71" s="86">
        <f t="shared" si="283"/>
        <v>0.83338128600079509</v>
      </c>
      <c r="V71" s="86">
        <f t="shared" si="283"/>
        <v>0.32003236198127089</v>
      </c>
      <c r="W71" s="86">
        <f t="shared" si="283"/>
        <v>0.29367629617950941</v>
      </c>
      <c r="X71" s="86">
        <f t="shared" si="283"/>
        <v>0.29134927158900092</v>
      </c>
      <c r="Y71" s="86">
        <f t="shared" ref="Y71" si="288">IFERROR(Y32/Y12,0)</f>
        <v>0.32234864464020618</v>
      </c>
      <c r="Z71" s="86">
        <f t="shared" si="283"/>
        <v>-4.7452756850729481</v>
      </c>
      <c r="AA71" s="86">
        <f t="shared" si="283"/>
        <v>-6.8661425837675658</v>
      </c>
      <c r="AB71" s="86">
        <f t="shared" ref="AB71" si="289">IFERROR(AB32/AB12,0)</f>
        <v>-0.40022853629035748</v>
      </c>
      <c r="AC71" s="86">
        <f t="shared" si="283"/>
        <v>0.57513004557372649</v>
      </c>
      <c r="AD71" s="86">
        <f t="shared" si="283"/>
        <v>0.79990650261628016</v>
      </c>
      <c r="AE71" s="86">
        <f t="shared" ref="AE71" si="290">IFERROR(AE32/AE12,0)</f>
        <v>0.69482648158767257</v>
      </c>
      <c r="AF71" s="86">
        <f t="shared" si="283"/>
        <v>-6.7160524785993552</v>
      </c>
      <c r="AG71" s="86">
        <f t="shared" si="283"/>
        <v>-6.6795880957515639</v>
      </c>
      <c r="AH71" s="86">
        <f t="shared" ref="AH71" si="291">IFERROR(AH32/AH12,0)</f>
        <v>-8.9319986010882939</v>
      </c>
      <c r="AI71" s="86">
        <f t="shared" si="283"/>
        <v>0.48418084126927885</v>
      </c>
      <c r="AJ71" s="86">
        <f t="shared" si="283"/>
        <v>0.41594764257592548</v>
      </c>
      <c r="AK71" s="86">
        <f t="shared" ref="AK71" si="292">IFERROR(AK32/AK12,0)</f>
        <v>0.51439498570817832</v>
      </c>
      <c r="AL71" s="86">
        <f t="shared" si="283"/>
        <v>-0.85455376482979273</v>
      </c>
      <c r="AM71" s="86">
        <f t="shared" si="283"/>
        <v>-0.97737197816805432</v>
      </c>
      <c r="AN71" s="86">
        <f t="shared" ref="AN71" si="293">IFERROR(AN32/AN12,0)</f>
        <v>-0.173483977899278</v>
      </c>
      <c r="AO71" s="86">
        <f t="shared" si="283"/>
        <v>0.37963546958307243</v>
      </c>
      <c r="AP71" s="86">
        <f t="shared" si="283"/>
        <v>0.42130467127831428</v>
      </c>
      <c r="AQ71" s="86">
        <f t="shared" ref="AQ71" si="294">IFERROR(AQ32/AQ12,0)</f>
        <v>0</v>
      </c>
      <c r="AR71" s="86">
        <f t="shared" si="283"/>
        <v>0.93092386857303444</v>
      </c>
      <c r="AS71" s="86">
        <f t="shared" si="283"/>
        <v>0.93402392685823477</v>
      </c>
      <c r="AT71" s="86">
        <f t="shared" ref="AT71" si="295">IFERROR(AT32/AT12,0)</f>
        <v>0.84443902235171464</v>
      </c>
      <c r="AU71" s="86">
        <f t="shared" si="283"/>
        <v>0.85451573442492612</v>
      </c>
      <c r="AV71" s="86">
        <f t="shared" si="283"/>
        <v>0.94266202520614917</v>
      </c>
      <c r="AW71" s="86">
        <f t="shared" ref="AW71" si="296">IFERROR(AW32/AW12,0)</f>
        <v>1.0056516531222484</v>
      </c>
      <c r="AX71" s="86">
        <f t="shared" ref="AX71:CI71" si="297">IFERROR(AX32/AX12,0)</f>
        <v>0.65596461680054152</v>
      </c>
      <c r="AY71" s="86">
        <f t="shared" si="297"/>
        <v>0.80077370379033186</v>
      </c>
      <c r="AZ71" s="86">
        <f t="shared" si="297"/>
        <v>0.4651833090438941</v>
      </c>
      <c r="BA71" s="86">
        <f t="shared" si="297"/>
        <v>0.71214632960478019</v>
      </c>
      <c r="BB71" s="86">
        <f t="shared" si="297"/>
        <v>0.76728542736060312</v>
      </c>
      <c r="BC71" s="86">
        <f t="shared" si="297"/>
        <v>0.69414103916787551</v>
      </c>
      <c r="BD71" s="86">
        <f t="shared" si="297"/>
        <v>-6.0471499029923333E-2</v>
      </c>
      <c r="BE71" s="86">
        <f t="shared" si="297"/>
        <v>0.18754198156432786</v>
      </c>
      <c r="BF71" s="86">
        <f t="shared" si="297"/>
        <v>0.11946537150053219</v>
      </c>
      <c r="BG71" s="86">
        <f t="shared" si="297"/>
        <v>-0.18222594973574868</v>
      </c>
      <c r="BH71" s="86">
        <f t="shared" si="297"/>
        <v>4.7007895314824825E-3</v>
      </c>
      <c r="BI71" s="86">
        <f t="shared" si="297"/>
        <v>9.7435328448824188E-2</v>
      </c>
      <c r="BJ71" s="86">
        <f t="shared" si="297"/>
        <v>0.48591928608687668</v>
      </c>
      <c r="BK71" s="86">
        <f t="shared" si="297"/>
        <v>0.45807778824535655</v>
      </c>
      <c r="BL71" s="86">
        <f t="shared" si="297"/>
        <v>5.2471922379779393E-2</v>
      </c>
      <c r="BM71" s="86">
        <f t="shared" si="297"/>
        <v>0.83772297647864047</v>
      </c>
      <c r="BN71" s="86">
        <f t="shared" si="297"/>
        <v>0.8790489748150061</v>
      </c>
      <c r="BO71" s="86">
        <f t="shared" si="297"/>
        <v>0</v>
      </c>
      <c r="BP71" s="86">
        <f t="shared" si="297"/>
        <v>1.0201569412634774E-4</v>
      </c>
      <c r="BQ71" s="86">
        <f t="shared" si="297"/>
        <v>1.2366587740955724E-4</v>
      </c>
      <c r="BR71" s="86">
        <f t="shared" si="297"/>
        <v>1.0575310008922361E-5</v>
      </c>
      <c r="BS71" s="86">
        <f t="shared" si="297"/>
        <v>8.8967235276247376E-7</v>
      </c>
      <c r="BT71" s="86">
        <f t="shared" si="297"/>
        <v>9.2555130903359455E-7</v>
      </c>
      <c r="BU71" s="86">
        <f t="shared" si="297"/>
        <v>1.2903204627991749E-7</v>
      </c>
      <c r="BV71" s="86">
        <f t="shared" si="297"/>
        <v>-2.7207854689790447</v>
      </c>
      <c r="BW71" s="86">
        <f t="shared" si="297"/>
        <v>-0.56261389021841102</v>
      </c>
      <c r="BX71" s="86">
        <f t="shared" si="297"/>
        <v>0</v>
      </c>
      <c r="BY71" s="86">
        <f>IFERROR(BY32/BY12,0)</f>
        <v>1.273620337581555E-2</v>
      </c>
      <c r="BZ71" s="86">
        <f>IFERROR(BZ32/BZ12,0)</f>
        <v>5.7006990705754518E-3</v>
      </c>
      <c r="CA71" s="86">
        <f t="shared" ref="CA71" si="298">IFERROR(CA32/CA12,0)</f>
        <v>7.5634971742994121E-4</v>
      </c>
      <c r="CB71" s="86">
        <f>IFERROR(CB32/CB12,0)</f>
        <v>0.40573861776488468</v>
      </c>
      <c r="CC71" s="86">
        <f>IFERROR(CC32/CC12,0)</f>
        <v>0.4237066761309341</v>
      </c>
      <c r="CD71" s="86">
        <f t="shared" ref="CD71" si="299">IFERROR(CD32/CD12,0)</f>
        <v>0.5690795292404115</v>
      </c>
      <c r="CE71" s="86">
        <f>IFERROR(CE32/CE12,0)</f>
        <v>0</v>
      </c>
      <c r="CF71" s="86">
        <f>IFERROR(CF32/CF12,0)</f>
        <v>0</v>
      </c>
      <c r="CG71" s="86">
        <f t="shared" ref="CG71" si="300">IFERROR(CG32/CG12,0)</f>
        <v>0.37998594439863875</v>
      </c>
      <c r="CH71" s="86">
        <f t="shared" si="297"/>
        <v>0.42863612801516671</v>
      </c>
      <c r="CI71" s="86">
        <f t="shared" si="297"/>
        <v>0.4594738939960093</v>
      </c>
      <c r="CJ71" s="86">
        <f t="shared" ref="CJ71" si="301">IFERROR(CJ32/CJ12,0)</f>
        <v>0.42415919051094864</v>
      </c>
    </row>
    <row r="72" spans="1:88" x14ac:dyDescent="0.2">
      <c r="A72" s="207" t="s">
        <v>110</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row>
    <row r="73" spans="1:88" x14ac:dyDescent="0.2">
      <c r="A73" s="96" t="s">
        <v>284</v>
      </c>
      <c r="B73" s="86">
        <f t="shared" ref="B73:AV73" si="302">IFERROR(B40/B37,0)</f>
        <v>0.34300813326606838</v>
      </c>
      <c r="C73" s="86">
        <f t="shared" si="302"/>
        <v>0.23146266857823519</v>
      </c>
      <c r="D73" s="86">
        <f t="shared" ref="D73" si="303">IFERROR(D40/D37,0)</f>
        <v>0.1015751687299149</v>
      </c>
      <c r="E73" s="86">
        <f t="shared" si="302"/>
        <v>0.25932514765313991</v>
      </c>
      <c r="F73" s="86">
        <f t="shared" si="302"/>
        <v>0.40603170458117899</v>
      </c>
      <c r="G73" s="86">
        <f t="shared" si="302"/>
        <v>0</v>
      </c>
      <c r="H73" s="86">
        <f t="shared" si="302"/>
        <v>0.21097580671338761</v>
      </c>
      <c r="I73" s="86">
        <f t="shared" si="302"/>
        <v>0.36132081362252388</v>
      </c>
      <c r="J73" s="86">
        <f t="shared" ref="J73" si="304">IFERROR(J40/J37,0)</f>
        <v>0.51335192417387954</v>
      </c>
      <c r="K73" s="86">
        <f t="shared" si="302"/>
        <v>0</v>
      </c>
      <c r="L73" s="86">
        <f t="shared" si="302"/>
        <v>0</v>
      </c>
      <c r="M73" s="86">
        <f t="shared" si="302"/>
        <v>0</v>
      </c>
      <c r="N73" s="86">
        <f t="shared" si="302"/>
        <v>0</v>
      </c>
      <c r="O73" s="86">
        <f t="shared" si="302"/>
        <v>0</v>
      </c>
      <c r="P73" s="86">
        <f t="shared" ref="P73" si="305">IFERROR(P40/P37,0)</f>
        <v>0</v>
      </c>
      <c r="Q73" s="86">
        <f t="shared" si="302"/>
        <v>0.53024080075445978</v>
      </c>
      <c r="R73" s="86">
        <f t="shared" si="302"/>
        <v>0.51427183175877045</v>
      </c>
      <c r="S73" s="86">
        <f t="shared" ref="S73" si="306">IFERROR(S40/S37,0)</f>
        <v>0</v>
      </c>
      <c r="T73" s="86">
        <f t="shared" si="302"/>
        <v>-0.33356275343075031</v>
      </c>
      <c r="U73" s="86">
        <f t="shared" si="302"/>
        <v>-1.1948069271902657</v>
      </c>
      <c r="V73" s="86">
        <f t="shared" si="302"/>
        <v>-5.7798037539395954</v>
      </c>
      <c r="W73" s="86">
        <f t="shared" si="302"/>
        <v>0.12209455590130215</v>
      </c>
      <c r="X73" s="86">
        <f t="shared" si="302"/>
        <v>0.208353317677509</v>
      </c>
      <c r="Y73" s="86">
        <f t="shared" ref="Y73" si="307">IFERROR(Y40/Y37,0)</f>
        <v>0.41002635438389279</v>
      </c>
      <c r="Z73" s="86">
        <f t="shared" si="302"/>
        <v>-9.1899894213737135E-2</v>
      </c>
      <c r="AA73" s="86">
        <f t="shared" si="302"/>
        <v>0.11555849954886165</v>
      </c>
      <c r="AB73" s="86">
        <f t="shared" ref="AB73" si="308">IFERROR(AB40/AB37,0)</f>
        <v>0.17973040814887142</v>
      </c>
      <c r="AC73" s="86">
        <f t="shared" si="302"/>
        <v>-0.26030116992454477</v>
      </c>
      <c r="AD73" s="86">
        <f t="shared" si="302"/>
        <v>-8.5462995056956662E-2</v>
      </c>
      <c r="AE73" s="86">
        <f t="shared" ref="AE73" si="309">IFERROR(AE40/AE37,0)</f>
        <v>-0.22852357708814863</v>
      </c>
      <c r="AF73" s="86">
        <f t="shared" si="302"/>
        <v>0</v>
      </c>
      <c r="AG73" s="86">
        <f t="shared" si="302"/>
        <v>0</v>
      </c>
      <c r="AH73" s="86">
        <f t="shared" ref="AH73" si="310">IFERROR(AH40/AH37,0)</f>
        <v>0</v>
      </c>
      <c r="AI73" s="86">
        <f t="shared" si="302"/>
        <v>8.8227983064147503E-2</v>
      </c>
      <c r="AJ73" s="86">
        <f t="shared" si="302"/>
        <v>0.29532346220019234</v>
      </c>
      <c r="AK73" s="86">
        <f t="shared" ref="AK73" si="311">IFERROR(AK40/AK37,0)</f>
        <v>0.37895925620850285</v>
      </c>
      <c r="AL73" s="86">
        <f t="shared" si="302"/>
        <v>0</v>
      </c>
      <c r="AM73" s="86">
        <f t="shared" si="302"/>
        <v>-0.70205779905415389</v>
      </c>
      <c r="AN73" s="86">
        <f t="shared" ref="AN73" si="312">IFERROR(AN40/AN37,0)</f>
        <v>0.12463149295577583</v>
      </c>
      <c r="AO73" s="86">
        <f t="shared" si="302"/>
        <v>2.9348758113261562E-2</v>
      </c>
      <c r="AP73" s="86">
        <f t="shared" si="302"/>
        <v>3.5136160289360931E-2</v>
      </c>
      <c r="AQ73" s="86">
        <f t="shared" ref="AQ73" si="313">IFERROR(AQ40/AQ37,0)</f>
        <v>0</v>
      </c>
      <c r="AR73" s="86">
        <f t="shared" si="302"/>
        <v>0.35608971334090617</v>
      </c>
      <c r="AS73" s="86">
        <f t="shared" si="302"/>
        <v>0.34756115508443047</v>
      </c>
      <c r="AT73" s="86">
        <f t="shared" ref="AT73" si="314">IFERROR(AT40/AT37,0)</f>
        <v>0</v>
      </c>
      <c r="AU73" s="86">
        <f t="shared" si="302"/>
        <v>0.35770928288637432</v>
      </c>
      <c r="AV73" s="86">
        <f t="shared" si="302"/>
        <v>0.5457829174366039</v>
      </c>
      <c r="AW73" s="86">
        <f t="shared" ref="AW73" si="315">IFERROR(AW40/AW37,0)</f>
        <v>0</v>
      </c>
      <c r="AX73" s="86">
        <f t="shared" ref="AX73:CI73" si="316">IFERROR(AX40/AX37,0)</f>
        <v>0.38103848655848777</v>
      </c>
      <c r="AY73" s="86">
        <f t="shared" si="316"/>
        <v>0.41393542130802896</v>
      </c>
      <c r="AZ73" s="86">
        <f t="shared" si="316"/>
        <v>0.42108738091486253</v>
      </c>
      <c r="BA73" s="86">
        <f t="shared" si="316"/>
        <v>-1.4682162678555053E-2</v>
      </c>
      <c r="BB73" s="86">
        <f t="shared" si="316"/>
        <v>-7.0121672448923436E-2</v>
      </c>
      <c r="BC73" s="86">
        <f t="shared" si="316"/>
        <v>0</v>
      </c>
      <c r="BD73" s="86">
        <f t="shared" si="316"/>
        <v>5.6951952881804727E-3</v>
      </c>
      <c r="BE73" s="86">
        <f t="shared" si="316"/>
        <v>0.1160175337533222</v>
      </c>
      <c r="BF73" s="86">
        <f t="shared" si="316"/>
        <v>0.14301774817259036</v>
      </c>
      <c r="BG73" s="86">
        <f t="shared" si="316"/>
        <v>1.7167201499225172E-2</v>
      </c>
      <c r="BH73" s="86">
        <f t="shared" si="316"/>
        <v>3.2421939934730956E-2</v>
      </c>
      <c r="BI73" s="86">
        <f t="shared" si="316"/>
        <v>4.3748310756059255E-2</v>
      </c>
      <c r="BJ73" s="86">
        <f t="shared" si="316"/>
        <v>0.72781036327298843</v>
      </c>
      <c r="BK73" s="86">
        <f t="shared" si="316"/>
        <v>0.74180989851625556</v>
      </c>
      <c r="BL73" s="86">
        <f t="shared" si="316"/>
        <v>0</v>
      </c>
      <c r="BM73" s="86">
        <f t="shared" si="316"/>
        <v>0.11163287432620179</v>
      </c>
      <c r="BN73" s="86">
        <f t="shared" si="316"/>
        <v>0.27400251973365258</v>
      </c>
      <c r="BO73" s="86">
        <f t="shared" si="316"/>
        <v>0</v>
      </c>
      <c r="BP73" s="86">
        <f t="shared" si="316"/>
        <v>1</v>
      </c>
      <c r="BQ73" s="86">
        <f t="shared" si="316"/>
        <v>1</v>
      </c>
      <c r="BR73" s="86">
        <f t="shared" si="316"/>
        <v>0</v>
      </c>
      <c r="BS73" s="86">
        <f t="shared" si="316"/>
        <v>0.85687674086437038</v>
      </c>
      <c r="BT73" s="86">
        <f t="shared" si="316"/>
        <v>0.81796772296797804</v>
      </c>
      <c r="BU73" s="86">
        <f t="shared" si="316"/>
        <v>0</v>
      </c>
      <c r="BV73" s="86">
        <f t="shared" si="316"/>
        <v>0</v>
      </c>
      <c r="BW73" s="86">
        <f t="shared" si="316"/>
        <v>-4.0712527480448495</v>
      </c>
      <c r="BX73" s="86">
        <f t="shared" si="316"/>
        <v>0</v>
      </c>
      <c r="BY73" s="86">
        <f>IFERROR(BY40/BY37,0)</f>
        <v>0.86191234361060642</v>
      </c>
      <c r="BZ73" s="86">
        <f>IFERROR(BZ40/BZ37,0)</f>
        <v>0.86495268269110159</v>
      </c>
      <c r="CA73" s="86">
        <f t="shared" ref="CA73" si="317">IFERROR(CA40/CA37,0)</f>
        <v>0</v>
      </c>
      <c r="CB73" s="86">
        <f>IFERROR(CB40/CB37,0)</f>
        <v>0.13568981729290713</v>
      </c>
      <c r="CC73" s="86">
        <f>IFERROR(CC40/CC37,0)</f>
        <v>0.21981272547314112</v>
      </c>
      <c r="CD73" s="86">
        <f t="shared" ref="CD73" si="318">IFERROR(CD40/CD37,0)</f>
        <v>0.46734460198616001</v>
      </c>
      <c r="CE73" s="86">
        <f>IFERROR(CE40/CE37,0)</f>
        <v>0</v>
      </c>
      <c r="CF73" s="86">
        <f>IFERROR(CF40/CF37,0)</f>
        <v>0</v>
      </c>
      <c r="CG73" s="86">
        <f t="shared" ref="CG73" si="319">IFERROR(CG40/CG37,0)</f>
        <v>0</v>
      </c>
      <c r="CH73" s="86">
        <f t="shared" si="316"/>
        <v>0.3749091468039239</v>
      </c>
      <c r="CI73" s="86">
        <f t="shared" si="316"/>
        <v>0.39661064851285077</v>
      </c>
      <c r="CJ73" s="86">
        <f t="shared" ref="CJ73" si="320">IFERROR(CJ40/CJ37,0)</f>
        <v>0.3299617745110357</v>
      </c>
    </row>
    <row r="74" spans="1:88" x14ac:dyDescent="0.2">
      <c r="A74" s="96" t="s">
        <v>88</v>
      </c>
      <c r="B74" s="86">
        <f t="shared" ref="B74:AV74" si="321">IFERROR(+B45/B37,0)</f>
        <v>0.32637774898840555</v>
      </c>
      <c r="C74" s="86">
        <f t="shared" si="321"/>
        <v>0.13799793276873631</v>
      </c>
      <c r="D74" s="86">
        <f t="shared" ref="D74" si="322">IFERROR(+D45/D37,0)</f>
        <v>4.9628299391703511E-2</v>
      </c>
      <c r="E74" s="86">
        <f t="shared" si="321"/>
        <v>0.37447376744587546</v>
      </c>
      <c r="F74" s="86">
        <f t="shared" si="321"/>
        <v>-2.114607568049149E-2</v>
      </c>
      <c r="G74" s="86">
        <f t="shared" si="321"/>
        <v>0</v>
      </c>
      <c r="H74" s="86">
        <f t="shared" si="321"/>
        <v>0.12892948843782931</v>
      </c>
      <c r="I74" s="86">
        <f t="shared" si="321"/>
        <v>0.44654205450034362</v>
      </c>
      <c r="J74" s="86">
        <f t="shared" ref="J74" si="323">IFERROR(+J45/J37,0)</f>
        <v>9.7288901527423519E-2</v>
      </c>
      <c r="K74" s="86">
        <f t="shared" si="321"/>
        <v>0</v>
      </c>
      <c r="L74" s="86">
        <f t="shared" si="321"/>
        <v>0</v>
      </c>
      <c r="M74" s="86">
        <f t="shared" si="321"/>
        <v>0</v>
      </c>
      <c r="N74" s="86">
        <f t="shared" si="321"/>
        <v>0</v>
      </c>
      <c r="O74" s="86">
        <f t="shared" si="321"/>
        <v>0</v>
      </c>
      <c r="P74" s="86">
        <f t="shared" ref="P74" si="324">IFERROR(+P45/P37,0)</f>
        <v>0</v>
      </c>
      <c r="Q74" s="86">
        <f t="shared" si="321"/>
        <v>0.52921439003203319</v>
      </c>
      <c r="R74" s="86">
        <f t="shared" si="321"/>
        <v>0.51389552295205776</v>
      </c>
      <c r="S74" s="86">
        <f t="shared" ref="S74" si="325">IFERROR(+S45/S37,0)</f>
        <v>0</v>
      </c>
      <c r="T74" s="86">
        <f t="shared" si="321"/>
        <v>-3.5838362719667036</v>
      </c>
      <c r="U74" s="86">
        <f t="shared" si="321"/>
        <v>-8.7837369941190797</v>
      </c>
      <c r="V74" s="86">
        <f t="shared" si="321"/>
        <v>-32.854155235992906</v>
      </c>
      <c r="W74" s="86">
        <f t="shared" si="321"/>
        <v>0.3473122191407087</v>
      </c>
      <c r="X74" s="86">
        <f t="shared" si="321"/>
        <v>-7.209287505037644E-2</v>
      </c>
      <c r="Y74" s="86">
        <f t="shared" ref="Y74" si="326">IFERROR(+Y45/Y37,0)</f>
        <v>0.38249168803403333</v>
      </c>
      <c r="Z74" s="86">
        <f t="shared" si="321"/>
        <v>-6.0934122527848883E-2</v>
      </c>
      <c r="AA74" s="86">
        <f t="shared" si="321"/>
        <v>-4.1146934338763895E-2</v>
      </c>
      <c r="AB74" s="86">
        <f t="shared" ref="AB74" si="327">IFERROR(+AB45/AB37,0)</f>
        <v>0.13663815915155933</v>
      </c>
      <c r="AC74" s="86">
        <f t="shared" si="321"/>
        <v>-0.2642584431378559</v>
      </c>
      <c r="AD74" s="86">
        <f t="shared" si="321"/>
        <v>-7.5576096886398728E-2</v>
      </c>
      <c r="AE74" s="86">
        <f t="shared" ref="AE74" si="328">IFERROR(+AE45/AE37,0)</f>
        <v>-0.10453255598769204</v>
      </c>
      <c r="AF74" s="86">
        <f t="shared" si="321"/>
        <v>0</v>
      </c>
      <c r="AG74" s="86">
        <f t="shared" si="321"/>
        <v>0</v>
      </c>
      <c r="AH74" s="86">
        <f t="shared" ref="AH74" si="329">IFERROR(+AH45/AH37,0)</f>
        <v>0</v>
      </c>
      <c r="AI74" s="86">
        <f t="shared" si="321"/>
        <v>6.41284109941931E-2</v>
      </c>
      <c r="AJ74" s="86">
        <f t="shared" si="321"/>
        <v>0.2037496223032923</v>
      </c>
      <c r="AK74" s="86">
        <f t="shared" ref="AK74" si="330">IFERROR(+AK45/AK37,0)</f>
        <v>0.32337399798209976</v>
      </c>
      <c r="AL74" s="86">
        <f t="shared" si="321"/>
        <v>0</v>
      </c>
      <c r="AM74" s="86">
        <f t="shared" si="321"/>
        <v>-0.61564881820374473</v>
      </c>
      <c r="AN74" s="86">
        <f t="shared" ref="AN74" si="331">IFERROR(+AN45/AN37,0)</f>
        <v>0.1679819315182555</v>
      </c>
      <c r="AO74" s="86">
        <f t="shared" si="321"/>
        <v>1.6348758112532537E-2</v>
      </c>
      <c r="AP74" s="86">
        <f t="shared" si="321"/>
        <v>1.5208365506139602E-2</v>
      </c>
      <c r="AQ74" s="86">
        <f t="shared" ref="AQ74" si="332">IFERROR(+AQ45/AQ37,0)</f>
        <v>0</v>
      </c>
      <c r="AR74" s="86">
        <f t="shared" si="321"/>
        <v>0.36043400149423349</v>
      </c>
      <c r="AS74" s="86">
        <f t="shared" si="321"/>
        <v>0.35520181564896142</v>
      </c>
      <c r="AT74" s="86">
        <f t="shared" ref="AT74" si="333">IFERROR(+AT45/AT37,0)</f>
        <v>0</v>
      </c>
      <c r="AU74" s="86">
        <f t="shared" si="321"/>
        <v>0.35313681452886803</v>
      </c>
      <c r="AV74" s="86">
        <f t="shared" si="321"/>
        <v>0.54866040620141188</v>
      </c>
      <c r="AW74" s="86">
        <f t="shared" ref="AW74" si="334">IFERROR(+AW45/AW37,0)</f>
        <v>0</v>
      </c>
      <c r="AX74" s="86">
        <f t="shared" ref="AX74:CI74" si="335">IFERROR(+AX45/AX37,0)</f>
        <v>0.36869730114491434</v>
      </c>
      <c r="AY74" s="86">
        <f t="shared" si="335"/>
        <v>0.39718369204118692</v>
      </c>
      <c r="AZ74" s="86">
        <f t="shared" si="335"/>
        <v>0.40585363547841102</v>
      </c>
      <c r="BA74" s="86">
        <f t="shared" si="335"/>
        <v>-1.5837774538159797E-2</v>
      </c>
      <c r="BB74" s="86">
        <f t="shared" si="335"/>
        <v>-7.5112286748210411E-2</v>
      </c>
      <c r="BC74" s="86">
        <f t="shared" si="335"/>
        <v>0</v>
      </c>
      <c r="BD74" s="86">
        <f t="shared" si="335"/>
        <v>6.7456250791211904E-3</v>
      </c>
      <c r="BE74" s="86">
        <f t="shared" si="335"/>
        <v>0.11121401778774107</v>
      </c>
      <c r="BF74" s="86">
        <f t="shared" si="335"/>
        <v>0.1405308190722771</v>
      </c>
      <c r="BG74" s="86">
        <f t="shared" si="335"/>
        <v>-2.6880580112108402E-4</v>
      </c>
      <c r="BH74" s="86">
        <f t="shared" si="335"/>
        <v>1.6464282873722164E-2</v>
      </c>
      <c r="BI74" s="86">
        <f t="shared" si="335"/>
        <v>2.2459100184643688E-2</v>
      </c>
      <c r="BJ74" s="86">
        <f t="shared" si="335"/>
        <v>0.72460565503565122</v>
      </c>
      <c r="BK74" s="86">
        <f t="shared" si="335"/>
        <v>0.73960051819166728</v>
      </c>
      <c r="BL74" s="86">
        <f t="shared" si="335"/>
        <v>0</v>
      </c>
      <c r="BM74" s="86">
        <f t="shared" si="335"/>
        <v>0.10331769807795797</v>
      </c>
      <c r="BN74" s="86">
        <f t="shared" si="335"/>
        <v>0.26913848033490989</v>
      </c>
      <c r="BO74" s="86">
        <f t="shared" si="335"/>
        <v>0</v>
      </c>
      <c r="BP74" s="86">
        <f t="shared" si="335"/>
        <v>0.99645016360823313</v>
      </c>
      <c r="BQ74" s="86">
        <f t="shared" si="335"/>
        <v>0.98895770749231682</v>
      </c>
      <c r="BR74" s="86">
        <f t="shared" si="335"/>
        <v>0</v>
      </c>
      <c r="BS74" s="86">
        <f t="shared" si="335"/>
        <v>1.0174602116228195</v>
      </c>
      <c r="BT74" s="86">
        <f t="shared" si="335"/>
        <v>0.98177913462340427</v>
      </c>
      <c r="BU74" s="86">
        <f t="shared" si="335"/>
        <v>0</v>
      </c>
      <c r="BV74" s="86">
        <f t="shared" si="335"/>
        <v>0</v>
      </c>
      <c r="BW74" s="86">
        <f t="shared" si="335"/>
        <v>-4.1258708724441027</v>
      </c>
      <c r="BX74" s="86">
        <f t="shared" si="335"/>
        <v>0</v>
      </c>
      <c r="BY74" s="86">
        <f>IFERROR(+BY45/BY37,0)</f>
        <v>0</v>
      </c>
      <c r="BZ74" s="86">
        <f>IFERROR(+BZ45/BZ37,0)</f>
        <v>0</v>
      </c>
      <c r="CA74" s="86">
        <f t="shared" ref="CA74" si="336">IFERROR(+CA45/CA37,0)</f>
        <v>0</v>
      </c>
      <c r="CB74" s="86">
        <f>IFERROR(+CB45/CB37,0)</f>
        <v>0.10780311890205445</v>
      </c>
      <c r="CC74" s="86">
        <f>IFERROR(+CC45/CC37,0)</f>
        <v>0.31730554803722005</v>
      </c>
      <c r="CD74" s="86">
        <f t="shared" ref="CD74" si="337">IFERROR(+CD45/CD37,0)</f>
        <v>0.45453179063927318</v>
      </c>
      <c r="CE74" s="86">
        <f>IFERROR(+CE45/CE37,0)</f>
        <v>0</v>
      </c>
      <c r="CF74" s="86">
        <f>IFERROR(+CF45/CF37,0)</f>
        <v>0</v>
      </c>
      <c r="CG74" s="86">
        <f t="shared" ref="CG74" si="338">IFERROR(+CG45/CG37,0)</f>
        <v>0</v>
      </c>
      <c r="CH74" s="86">
        <f t="shared" si="335"/>
        <v>0.29704311675015804</v>
      </c>
      <c r="CI74" s="86">
        <f t="shared" si="335"/>
        <v>0.28859025509345554</v>
      </c>
      <c r="CJ74" s="86">
        <f t="shared" ref="CJ74" si="339">IFERROR(+CJ45/CJ37,0)</f>
        <v>0.30290198860626399</v>
      </c>
    </row>
    <row r="75" spans="1:88" x14ac:dyDescent="0.2">
      <c r="A75" s="207" t="s">
        <v>89</v>
      </c>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row>
    <row r="76" spans="1:88" x14ac:dyDescent="0.2">
      <c r="A76" s="204" t="s">
        <v>194</v>
      </c>
      <c r="B76" s="205">
        <f>B10-B14</f>
        <v>4363485000</v>
      </c>
      <c r="C76" s="205">
        <f t="shared" ref="C76:CI76" si="340">C10-C14</f>
        <v>8823346000</v>
      </c>
      <c r="D76" s="205">
        <f t="shared" ref="D76" si="341">D10-D14</f>
        <v>10274213000</v>
      </c>
      <c r="E76" s="205">
        <f t="shared" si="340"/>
        <v>1192366456000</v>
      </c>
      <c r="F76" s="205">
        <f t="shared" si="340"/>
        <v>934451591000</v>
      </c>
      <c r="G76" s="205">
        <f t="shared" si="340"/>
        <v>1080064191000</v>
      </c>
      <c r="H76" s="205">
        <f t="shared" si="340"/>
        <v>104674042000</v>
      </c>
      <c r="I76" s="205">
        <f t="shared" si="340"/>
        <v>115142535000</v>
      </c>
      <c r="J76" s="205">
        <f t="shared" ref="J76" si="342">J10-J14</f>
        <v>112719818000</v>
      </c>
      <c r="K76" s="205">
        <f t="shared" si="340"/>
        <v>29694064</v>
      </c>
      <c r="L76" s="205">
        <f t="shared" si="340"/>
        <v>34096209</v>
      </c>
      <c r="M76" s="205">
        <f t="shared" si="340"/>
        <v>0</v>
      </c>
      <c r="N76" s="205">
        <f t="shared" si="340"/>
        <v>17266766</v>
      </c>
      <c r="O76" s="205">
        <f t="shared" si="340"/>
        <v>3901299615</v>
      </c>
      <c r="P76" s="205">
        <f t="shared" ref="P76" si="343">P10-P14</f>
        <v>10964920000</v>
      </c>
      <c r="Q76" s="205">
        <f t="shared" si="340"/>
        <v>5764636</v>
      </c>
      <c r="R76" s="205">
        <f t="shared" si="340"/>
        <v>5764636</v>
      </c>
      <c r="S76" s="205">
        <f t="shared" ref="S76" si="344">S10-S14</f>
        <v>5764636</v>
      </c>
      <c r="T76" s="205">
        <f t="shared" si="340"/>
        <v>1033261000</v>
      </c>
      <c r="U76" s="205">
        <f t="shared" si="340"/>
        <v>1578615000</v>
      </c>
      <c r="V76" s="205">
        <f t="shared" si="340"/>
        <v>931162000</v>
      </c>
      <c r="W76" s="205">
        <f t="shared" si="340"/>
        <v>115954379000</v>
      </c>
      <c r="X76" s="205">
        <f t="shared" si="340"/>
        <v>81821449000</v>
      </c>
      <c r="Y76" s="205">
        <f t="shared" ref="Y76" si="345">Y10-Y14</f>
        <v>121474273000</v>
      </c>
      <c r="Z76" s="205">
        <f t="shared" si="340"/>
        <v>-22273793000</v>
      </c>
      <c r="AA76" s="205">
        <f t="shared" si="340"/>
        <v>-25905544000</v>
      </c>
      <c r="AB76" s="205">
        <f t="shared" ref="AB76" si="346">AB10-AB14</f>
        <v>-10033721000</v>
      </c>
      <c r="AC76" s="205">
        <f t="shared" si="340"/>
        <v>86343093000</v>
      </c>
      <c r="AD76" s="205">
        <f t="shared" si="340"/>
        <v>56984025000</v>
      </c>
      <c r="AE76" s="205">
        <f t="shared" ref="AE76" si="347">AE10-AE14</f>
        <v>53211754000</v>
      </c>
      <c r="AF76" s="205">
        <f t="shared" si="340"/>
        <v>-2356824000</v>
      </c>
      <c r="AG76" s="205">
        <f t="shared" si="340"/>
        <v>-2353967000</v>
      </c>
      <c r="AH76" s="205">
        <f t="shared" ref="AH76" si="348">AH10-AH14</f>
        <v>-2375206000</v>
      </c>
      <c r="AI76" s="205">
        <f t="shared" si="340"/>
        <v>35310383000</v>
      </c>
      <c r="AJ76" s="205">
        <f t="shared" si="340"/>
        <v>58642796000</v>
      </c>
      <c r="AK76" s="205">
        <f t="shared" ref="AK76" si="349">AK10-AK14</f>
        <v>82987538000</v>
      </c>
      <c r="AL76" s="205">
        <f t="shared" si="340"/>
        <v>-774036000</v>
      </c>
      <c r="AM76" s="205">
        <f t="shared" si="340"/>
        <v>-3907886000</v>
      </c>
      <c r="AN76" s="205">
        <f t="shared" ref="AN76" si="350">AN10-AN14</f>
        <v>-2256160000</v>
      </c>
      <c r="AO76" s="205">
        <f t="shared" si="340"/>
        <v>7251478916</v>
      </c>
      <c r="AP76" s="205">
        <f t="shared" si="340"/>
        <v>8034970246</v>
      </c>
      <c r="AQ76" s="205">
        <f t="shared" ref="AQ76" si="351">AQ10-AQ14</f>
        <v>0</v>
      </c>
      <c r="AR76" s="205">
        <f t="shared" si="340"/>
        <v>46723613893</v>
      </c>
      <c r="AS76" s="205">
        <f t="shared" si="340"/>
        <v>81067549991</v>
      </c>
      <c r="AT76" s="205">
        <f t="shared" ref="AT76" si="352">AT10-AT14</f>
        <v>94942120991</v>
      </c>
      <c r="AU76" s="205">
        <f t="shared" si="340"/>
        <v>3579878414</v>
      </c>
      <c r="AV76" s="205">
        <f t="shared" si="340"/>
        <v>19433390496</v>
      </c>
      <c r="AW76" s="205">
        <f t="shared" ref="AW76" si="353">AW10-AW14</f>
        <v>19433390496</v>
      </c>
      <c r="AX76" s="205">
        <f t="shared" si="340"/>
        <v>57511481000</v>
      </c>
      <c r="AY76" s="205">
        <f t="shared" si="340"/>
        <v>84180179000</v>
      </c>
      <c r="AZ76" s="205">
        <f t="shared" ref="AZ76" si="354">AZ10-AZ14</f>
        <v>66226979427</v>
      </c>
      <c r="BA76" s="205">
        <f t="shared" si="340"/>
        <v>9332815949</v>
      </c>
      <c r="BB76" s="205">
        <f t="shared" si="340"/>
        <v>22182147309</v>
      </c>
      <c r="BC76" s="205">
        <f t="shared" ref="BC76" si="355">BC10-BC14</f>
        <v>27595978100</v>
      </c>
      <c r="BD76" s="205">
        <f t="shared" si="340"/>
        <v>20552896000</v>
      </c>
      <c r="BE76" s="205">
        <f t="shared" si="340"/>
        <v>16375308000</v>
      </c>
      <c r="BF76" s="205">
        <f t="shared" ref="BF76" si="356">BF10-BF14</f>
        <v>16014962561</v>
      </c>
      <c r="BG76" s="205">
        <f t="shared" si="340"/>
        <v>-53608537</v>
      </c>
      <c r="BH76" s="205">
        <f t="shared" si="340"/>
        <v>-11402280</v>
      </c>
      <c r="BI76" s="205">
        <f t="shared" ref="BI76" si="357">BI10-BI14</f>
        <v>10772783</v>
      </c>
      <c r="BJ76" s="205">
        <f t="shared" si="340"/>
        <v>4983938474</v>
      </c>
      <c r="BK76" s="205">
        <f t="shared" si="340"/>
        <v>4724117980</v>
      </c>
      <c r="BL76" s="205">
        <f t="shared" ref="BL76" si="358">BL10-BL14</f>
        <v>5571516725</v>
      </c>
      <c r="BM76" s="205">
        <f t="shared" si="340"/>
        <v>40319985410</v>
      </c>
      <c r="BN76" s="205">
        <f t="shared" si="340"/>
        <v>73705016398</v>
      </c>
      <c r="BO76" s="205">
        <f t="shared" ref="BO76" si="359">BO10-BO14</f>
        <v>0</v>
      </c>
      <c r="BP76" s="205">
        <f t="shared" si="340"/>
        <v>1740596</v>
      </c>
      <c r="BQ76" s="205">
        <f t="shared" si="340"/>
        <v>1740596</v>
      </c>
      <c r="BR76" s="205">
        <f t="shared" ref="BR76" si="360">BR10-BR14</f>
        <v>1740596</v>
      </c>
      <c r="BS76" s="205">
        <f t="shared" si="340"/>
        <v>11178380627</v>
      </c>
      <c r="BT76" s="205">
        <f t="shared" si="340"/>
        <v>7223768399</v>
      </c>
      <c r="BU76" s="205">
        <f t="shared" ref="BU76" si="361">BU10-BU14</f>
        <v>-360576913</v>
      </c>
      <c r="BV76" s="205">
        <f t="shared" ref="BV76:CD76" si="362">BV10-BV14</f>
        <v>-983513156</v>
      </c>
      <c r="BW76" s="205">
        <f t="shared" si="362"/>
        <v>-117351674</v>
      </c>
      <c r="BX76" s="205">
        <f t="shared" si="362"/>
        <v>0</v>
      </c>
      <c r="BY76" s="205">
        <f t="shared" si="362"/>
        <v>1771321291</v>
      </c>
      <c r="BZ76" s="205">
        <f t="shared" si="362"/>
        <v>-7458502459</v>
      </c>
      <c r="CA76" s="205">
        <f t="shared" si="362"/>
        <v>-130117170</v>
      </c>
      <c r="CB76" s="205">
        <f t="shared" si="362"/>
        <v>200859378000</v>
      </c>
      <c r="CC76" s="205">
        <f t="shared" si="362"/>
        <v>170672515000</v>
      </c>
      <c r="CD76" s="205">
        <f t="shared" si="362"/>
        <v>318455667000</v>
      </c>
      <c r="CE76" s="205">
        <f t="shared" ref="CE76:CG76" si="363">CE10-CE14</f>
        <v>0</v>
      </c>
      <c r="CF76" s="205">
        <f t="shared" si="363"/>
        <v>0</v>
      </c>
      <c r="CG76" s="205">
        <f t="shared" si="363"/>
        <v>4244282760</v>
      </c>
      <c r="CH76" s="205">
        <f t="shared" si="340"/>
        <v>1917722958343</v>
      </c>
      <c r="CI76" s="205">
        <f t="shared" si="340"/>
        <v>1709231567462</v>
      </c>
      <c r="CJ76" s="205">
        <f t="shared" ref="CJ76" si="364">CJ10-CJ14</f>
        <v>2005730981232</v>
      </c>
    </row>
    <row r="77" spans="1:88" x14ac:dyDescent="0.2">
      <c r="A77" s="207" t="s">
        <v>219</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row>
    <row r="78" spans="1:88" x14ac:dyDescent="0.2">
      <c r="A78" s="96" t="s">
        <v>220</v>
      </c>
      <c r="B78" s="86"/>
      <c r="C78" s="86">
        <f>IFERROR(C12/B12-1,"")</f>
        <v>1.3993873890174613</v>
      </c>
      <c r="D78" s="86"/>
      <c r="E78" s="86"/>
      <c r="F78" s="86">
        <f>IFERROR(F12/E12-1,"")</f>
        <v>-0.22884504284810392</v>
      </c>
      <c r="G78" s="86"/>
      <c r="H78" s="86"/>
      <c r="I78" s="86">
        <f>IFERROR(I12/H12-1,"")</f>
        <v>-8.4453213646757619E-2</v>
      </c>
      <c r="J78" s="86"/>
      <c r="K78" s="86"/>
      <c r="L78" s="86">
        <f>IFERROR(L12/K12-1,"")</f>
        <v>2.7815743728263342E-3</v>
      </c>
      <c r="M78" s="86"/>
      <c r="N78" s="86"/>
      <c r="O78" s="86">
        <f>IFERROR(O12/N12-1,"")</f>
        <v>0.15809405765098261</v>
      </c>
      <c r="P78" s="86"/>
      <c r="Q78" s="86"/>
      <c r="R78" s="86">
        <f>IFERROR(R12/Q12-1,"")</f>
        <v>0.153280671939374</v>
      </c>
      <c r="S78" s="86"/>
      <c r="T78" s="86"/>
      <c r="U78" s="86">
        <f>IFERROR(U12/T12-1,"")</f>
        <v>-1.7371334781679404E-2</v>
      </c>
      <c r="V78" s="86"/>
      <c r="W78" s="86"/>
      <c r="X78" s="86">
        <f>IFERROR(X12/W12-1,"")</f>
        <v>-0.28850680543973672</v>
      </c>
      <c r="Y78" s="86"/>
      <c r="Z78" s="86"/>
      <c r="AA78" s="86">
        <f>IFERROR(AA12/Z12-1,"")</f>
        <v>-0.41747434908709691</v>
      </c>
      <c r="AB78" s="86"/>
      <c r="AC78" s="86"/>
      <c r="AD78" s="86">
        <f>IFERROR(AD12/AC12-1,"")</f>
        <v>-0.52548237404458753</v>
      </c>
      <c r="AE78" s="86"/>
      <c r="AF78" s="86"/>
      <c r="AG78" s="86">
        <f>IFERROR(AG12/AF12-1,"")</f>
        <v>4.2402343527372377E-3</v>
      </c>
      <c r="AH78" s="86"/>
      <c r="AI78" s="86"/>
      <c r="AJ78" s="86">
        <f>IFERROR(AJ12/AI12-1,"")</f>
        <v>0.93321952990183976</v>
      </c>
      <c r="AK78" s="86"/>
      <c r="AL78" s="86"/>
      <c r="AM78" s="86">
        <f>IFERROR(AM12/AL12-1,"")</f>
        <v>3.4142836324132402</v>
      </c>
      <c r="AN78" s="86"/>
      <c r="AO78" s="86"/>
      <c r="AP78" s="86">
        <f>IFERROR(AP12/AO12-1,"")</f>
        <v>-1.1758169414203046E-2</v>
      </c>
      <c r="AQ78" s="86"/>
      <c r="AR78" s="86"/>
      <c r="AS78" s="86">
        <f>IFERROR(AS12/AR12-1,"")</f>
        <v>0.72928584087115045</v>
      </c>
      <c r="AT78" s="86"/>
      <c r="AU78" s="86"/>
      <c r="AV78" s="86">
        <f>IFERROR(AV12/AU12-1,"")</f>
        <v>3.9208978825312331</v>
      </c>
      <c r="AW78" s="86"/>
      <c r="AX78" s="86"/>
      <c r="AY78" s="86">
        <f>IFERROR(AY12/AX12-1,"")</f>
        <v>0.23440967453022599</v>
      </c>
      <c r="AZ78" s="86"/>
      <c r="BA78" s="86"/>
      <c r="BB78" s="86">
        <f>IFERROR(BB12/BA12-1,"")</f>
        <v>1.2059881445933867</v>
      </c>
      <c r="BC78" s="86"/>
      <c r="BD78" s="86"/>
      <c r="BE78" s="86">
        <f>IFERROR(BE12/BD12-1,"")</f>
        <v>-9.5131859971356869E-2</v>
      </c>
      <c r="BF78" s="86"/>
      <c r="BG78" s="86"/>
      <c r="BH78" s="86">
        <f>IFERROR(BH12/BG12-1,"")</f>
        <v>-0.27304484142141705</v>
      </c>
      <c r="BI78" s="86"/>
      <c r="BJ78" s="86"/>
      <c r="BK78" s="86">
        <f>IFERROR(BK12/BJ12-1,"")</f>
        <v>6.0778973693890626E-2</v>
      </c>
      <c r="BL78" s="86"/>
      <c r="BM78" s="86"/>
      <c r="BN78" s="86">
        <f>IFERROR(BN12/BM12-1,"")</f>
        <v>0.70229159636799721</v>
      </c>
      <c r="BO78" s="86"/>
      <c r="BP78" s="86"/>
      <c r="BQ78" s="86">
        <f>IFERROR(BQ12/BP12-1,"")</f>
        <v>-0.17506998483913483</v>
      </c>
      <c r="BR78" s="86"/>
      <c r="BS78" s="86"/>
      <c r="BT78" s="86">
        <f>IFERROR(BT12/BS12-1,"")</f>
        <v>-3.8764956540965234E-2</v>
      </c>
      <c r="BU78" s="86"/>
      <c r="BV78" s="86"/>
      <c r="BW78" s="86">
        <f>IFERROR(BW12/BV12-1,"")</f>
        <v>6.8141143901515324</v>
      </c>
      <c r="BX78" s="86"/>
      <c r="BY78" s="86"/>
      <c r="BZ78" s="86">
        <f>IFERROR(BZ12/BY12-1,"")</f>
        <v>1.2341476401647538</v>
      </c>
      <c r="CA78" s="86"/>
      <c r="CB78" s="86"/>
      <c r="CC78" s="86">
        <f>IFERROR(CC12/CB12-1,"")</f>
        <v>-0.18798198477916728</v>
      </c>
      <c r="CD78" s="86"/>
      <c r="CE78" s="86"/>
      <c r="CF78" s="86" t="str">
        <f>IFERROR(CF12/CE12-1,"")</f>
        <v/>
      </c>
      <c r="CG78" s="86"/>
      <c r="CH78" s="86"/>
      <c r="CI78" s="86">
        <f>IFERROR(CI12/CH12-1,"")</f>
        <v>-0.15577667580250065</v>
      </c>
      <c r="CJ78" s="86"/>
    </row>
    <row r="79" spans="1:88" x14ac:dyDescent="0.2">
      <c r="A79" s="96" t="s">
        <v>221</v>
      </c>
      <c r="B79" s="86"/>
      <c r="C79" s="86">
        <f>IFERROR(C16/B16-1,"")</f>
        <v>1.579941902578498</v>
      </c>
      <c r="D79" s="86"/>
      <c r="E79" s="86"/>
      <c r="F79" s="86">
        <f>IFERROR(F16/E16-1,"")</f>
        <v>-0.23931782219034903</v>
      </c>
      <c r="G79" s="86"/>
      <c r="H79" s="86"/>
      <c r="I79" s="86">
        <f>IFERROR(I16/H16-1,"")</f>
        <v>-0.18003111588513954</v>
      </c>
      <c r="J79" s="86"/>
      <c r="K79" s="86"/>
      <c r="L79" s="86">
        <f>IFERROR(L16/K16-1,"")</f>
        <v>3.0584893146103909E-3</v>
      </c>
      <c r="M79" s="86"/>
      <c r="N79" s="86"/>
      <c r="O79" s="86">
        <f>IFERROR(O16/N16-1,"")</f>
        <v>-0.12842608789509469</v>
      </c>
      <c r="P79" s="86"/>
      <c r="Q79" s="86"/>
      <c r="R79" s="86">
        <f>IFERROR(R16/Q16-1,"")</f>
        <v>0.15346449786411109</v>
      </c>
      <c r="S79" s="86"/>
      <c r="T79" s="86"/>
      <c r="U79" s="86">
        <f>IFERROR(U16/T16-1,"")</f>
        <v>-0.64714379147078382</v>
      </c>
      <c r="V79" s="86"/>
      <c r="W79" s="86"/>
      <c r="X79" s="86">
        <f>IFERROR(X16/W16-1,"")</f>
        <v>-0.28616274966082722</v>
      </c>
      <c r="Y79" s="86"/>
      <c r="Z79" s="86"/>
      <c r="AA79" s="86">
        <f>IFERROR(AA16/Z16-1,"")</f>
        <v>-0.20243516935345707</v>
      </c>
      <c r="AB79" s="86"/>
      <c r="AC79" s="86"/>
      <c r="AD79" s="86">
        <f>IFERROR(AD16/AC16-1,"")</f>
        <v>-0.77652481575014654</v>
      </c>
      <c r="AE79" s="86"/>
      <c r="AF79" s="86"/>
      <c r="AG79" s="86">
        <f>IFERROR(AG16/AF16-1,"")</f>
        <v>-5.0558619192031529E-4</v>
      </c>
      <c r="AH79" s="86"/>
      <c r="AI79" s="86"/>
      <c r="AJ79" s="86">
        <f>IFERROR(AJ16/AI16-1,"")</f>
        <v>1.1889482093604595</v>
      </c>
      <c r="AK79" s="86"/>
      <c r="AL79" s="86"/>
      <c r="AM79" s="86">
        <f>IFERROR(AM16/AL16-1,"")</f>
        <v>3.7066204948881243</v>
      </c>
      <c r="AN79" s="86"/>
      <c r="AO79" s="86"/>
      <c r="AP79" s="86">
        <f>IFERROR(AP16/AO16-1,"")</f>
        <v>-7.8137283859510465E-2</v>
      </c>
      <c r="AQ79" s="86"/>
      <c r="AR79" s="86"/>
      <c r="AS79" s="86">
        <f>IFERROR(AS16/AR16-1,"")</f>
        <v>0.6516774573712667</v>
      </c>
      <c r="AT79" s="86"/>
      <c r="AU79" s="86"/>
      <c r="AV79" s="86">
        <f>IFERROR(AV16/AU16-1,"")</f>
        <v>0.93941466890857939</v>
      </c>
      <c r="AW79" s="86"/>
      <c r="AX79" s="86"/>
      <c r="AY79" s="86">
        <f>IFERROR(AY16/AX16-1,"")</f>
        <v>-0.28516984161637826</v>
      </c>
      <c r="AZ79" s="86"/>
      <c r="BA79" s="86"/>
      <c r="BB79" s="86">
        <f>IFERROR(BB16/BA16-1,"")</f>
        <v>0.78342554260913499</v>
      </c>
      <c r="BC79" s="86"/>
      <c r="BD79" s="86"/>
      <c r="BE79" s="86">
        <f>IFERROR(BE16/BD16-1,"")</f>
        <v>-0.30675423463455154</v>
      </c>
      <c r="BF79" s="86"/>
      <c r="BG79" s="86"/>
      <c r="BH79" s="86">
        <f>IFERROR(BH16/BG16-1,"")</f>
        <v>-0.38798679259154745</v>
      </c>
      <c r="BI79" s="86"/>
      <c r="BJ79" s="86"/>
      <c r="BK79" s="86">
        <f>IFERROR(BK16/BJ16-1,"")</f>
        <v>0.11822846500357498</v>
      </c>
      <c r="BL79" s="86"/>
      <c r="BM79" s="86"/>
      <c r="BN79" s="86">
        <f>IFERROR(BN16/BM16-1,"")</f>
        <v>0.2687804427064111</v>
      </c>
      <c r="BO79" s="86"/>
      <c r="BP79" s="86"/>
      <c r="BQ79" s="86">
        <f>IFERROR(BQ16/BP16-1,"")</f>
        <v>-0.17508784654733345</v>
      </c>
      <c r="BR79" s="86"/>
      <c r="BS79" s="86"/>
      <c r="BT79" s="86">
        <f>IFERROR(BT16/BS16-1,"")</f>
        <v>-3.8764991029106022E-2</v>
      </c>
      <c r="BU79" s="86"/>
      <c r="BV79" s="86"/>
      <c r="BW79" s="86">
        <f>IFERROR(BW16/BV16-1,"")</f>
        <v>2.2816844151879594</v>
      </c>
      <c r="BX79" s="86"/>
      <c r="BY79" s="86"/>
      <c r="BZ79" s="86">
        <f>IFERROR(BZ16/BY16-1,"")</f>
        <v>1.2500687702564961</v>
      </c>
      <c r="CA79" s="86"/>
      <c r="CB79" s="86"/>
      <c r="CC79" s="86">
        <f>IFERROR(CC16/CB16-1,"")</f>
        <v>-0.2125341221516055</v>
      </c>
      <c r="CD79" s="86"/>
      <c r="CE79" s="86"/>
      <c r="CF79" s="86" t="str">
        <f>IFERROR(CF16/CE16-1,"")</f>
        <v/>
      </c>
      <c r="CG79" s="86"/>
      <c r="CH79" s="86"/>
      <c r="CI79" s="86">
        <f>IFERROR(CI16/CH16-1,"")</f>
        <v>-0.20134126709654476</v>
      </c>
      <c r="CJ79" s="86"/>
    </row>
    <row r="80" spans="1:88" x14ac:dyDescent="0.2">
      <c r="A80" s="96" t="s">
        <v>222</v>
      </c>
      <c r="B80" s="86"/>
      <c r="C80" s="86">
        <f>IFERROR(C32/B32-1,"")</f>
        <v>0.85553239473110865</v>
      </c>
      <c r="D80" s="86"/>
      <c r="E80" s="86"/>
      <c r="F80" s="86">
        <f>IFERROR(F32/E32-1,"")</f>
        <v>-0.21631368600226897</v>
      </c>
      <c r="G80" s="86"/>
      <c r="H80" s="86"/>
      <c r="I80" s="86">
        <f>IFERROR(I32/H32-1,"")</f>
        <v>0.10001040181480714</v>
      </c>
      <c r="J80" s="86"/>
      <c r="K80" s="86"/>
      <c r="L80" s="86">
        <f>IFERROR(L32/K32-1,"")</f>
        <v>0</v>
      </c>
      <c r="M80" s="86"/>
      <c r="N80" s="86"/>
      <c r="O80" s="86">
        <f>IFERROR(O32/N32-1,"")</f>
        <v>0.2722056452704853</v>
      </c>
      <c r="P80" s="86"/>
      <c r="Q80" s="86"/>
      <c r="R80" s="86">
        <f>IFERROR(R32/Q32-1,"")</f>
        <v>0</v>
      </c>
      <c r="S80" s="86"/>
      <c r="T80" s="86"/>
      <c r="U80" s="86">
        <f>IFERROR(U32/T32-1,"")</f>
        <v>0.52779888140556941</v>
      </c>
      <c r="V80" s="86"/>
      <c r="W80" s="86"/>
      <c r="X80" s="86">
        <f>IFERROR(X32/W32-1,"")</f>
        <v>-0.29414451669277275</v>
      </c>
      <c r="Y80" s="86"/>
      <c r="Z80" s="86"/>
      <c r="AA80" s="86">
        <f>IFERROR(AA32/Z32-1,"")</f>
        <v>-0.15711869165963599</v>
      </c>
      <c r="AB80" s="86"/>
      <c r="AC80" s="86"/>
      <c r="AD80" s="86">
        <f>IFERROR(AD32/AC32-1,"")</f>
        <v>-0.34002798579383764</v>
      </c>
      <c r="AE80" s="86"/>
      <c r="AF80" s="86"/>
      <c r="AG80" s="86">
        <f>IFERROR(AG32/AF32-1,"")</f>
        <v>-1.2122245869865544E-3</v>
      </c>
      <c r="AH80" s="86"/>
      <c r="AI80" s="86"/>
      <c r="AJ80" s="86">
        <f>IFERROR(AJ32/AI32-1,"")</f>
        <v>0.66078051319919129</v>
      </c>
      <c r="AK80" s="86"/>
      <c r="AL80" s="86"/>
      <c r="AM80" s="86">
        <f>IFERROR(AM32/AL32-1,"")</f>
        <v>4.048713496529877</v>
      </c>
      <c r="AN80" s="86"/>
      <c r="AO80" s="86"/>
      <c r="AP80" s="86">
        <f>IFERROR(AP32/AO32-1,"")</f>
        <v>9.6712327843545109E-2</v>
      </c>
      <c r="AQ80" s="86"/>
      <c r="AR80" s="86"/>
      <c r="AS80" s="86">
        <f>IFERROR(AS32/AR32-1,"")</f>
        <v>0.73504451467837573</v>
      </c>
      <c r="AT80" s="86"/>
      <c r="AU80" s="86"/>
      <c r="AV80" s="86">
        <f>IFERROR(AV32/AU32-1,"")</f>
        <v>4.4285057336028286</v>
      </c>
      <c r="AW80" s="86"/>
      <c r="AX80" s="86"/>
      <c r="AY80" s="86">
        <f>IFERROR(AY32/AX32-1,"")</f>
        <v>0.50691482703670587</v>
      </c>
      <c r="AZ80" s="86"/>
      <c r="BA80" s="86"/>
      <c r="BB80" s="86">
        <f>IFERROR(BB32/BA32-1,"")</f>
        <v>1.3767903953336602</v>
      </c>
      <c r="BC80" s="86"/>
      <c r="BD80" s="86"/>
      <c r="BE80" s="86">
        <f>IFERROR(BE32/BD32-1,"")</f>
        <v>-3.8062933242555435</v>
      </c>
      <c r="BF80" s="86"/>
      <c r="BG80" s="86"/>
      <c r="BH80" s="86">
        <f>IFERROR(BH32/BG32-1,"")</f>
        <v>-1.0187528900480907</v>
      </c>
      <c r="BI80" s="86"/>
      <c r="BJ80" s="86"/>
      <c r="BK80" s="86">
        <f>IFERROR(BK32/BJ32-1,"")</f>
        <v>0</v>
      </c>
      <c r="BL80" s="86"/>
      <c r="BM80" s="86"/>
      <c r="BN80" s="86">
        <f>IFERROR(BN32/BM32-1,"")</f>
        <v>0.78626792464685602</v>
      </c>
      <c r="BO80" s="86"/>
      <c r="BP80" s="86"/>
      <c r="BQ80" s="86">
        <f>IFERROR(BQ32/BP32-1,"")</f>
        <v>0</v>
      </c>
      <c r="BR80" s="86"/>
      <c r="BS80" s="86"/>
      <c r="BT80" s="86">
        <f>IFERROR(BT32/BS32-1,"")</f>
        <v>0</v>
      </c>
      <c r="BU80" s="86"/>
      <c r="BV80" s="86"/>
      <c r="BW80" s="86">
        <f>IFERROR(BW32/BV32-1,"")</f>
        <v>0.6158309230108141</v>
      </c>
      <c r="BX80" s="86"/>
      <c r="BY80" s="86"/>
      <c r="BZ80" s="86">
        <f>IFERROR(BZ32/BY32-1,"")</f>
        <v>0</v>
      </c>
      <c r="CA80" s="86"/>
      <c r="CB80" s="86"/>
      <c r="CC80" s="86">
        <f>IFERROR(CC32/CB32-1,"")</f>
        <v>-0.1520219197201732</v>
      </c>
      <c r="CD80" s="86"/>
      <c r="CE80" s="86"/>
      <c r="CF80" s="86" t="str">
        <f>IFERROR(CF32/CE32-1,"")</f>
        <v/>
      </c>
      <c r="CG80" s="86"/>
      <c r="CH80" s="86"/>
      <c r="CI80" s="86">
        <f>IFERROR(CI32/CH32-1,"")</f>
        <v>-9.503993523020271E-2</v>
      </c>
      <c r="CJ80" s="86"/>
    </row>
    <row r="81" spans="1:88" x14ac:dyDescent="0.2">
      <c r="A81" s="96" t="s">
        <v>61</v>
      </c>
      <c r="B81" s="86"/>
      <c r="C81" s="86">
        <f>IFERROR(C37/B37-1,"")</f>
        <v>2.1630633659467251</v>
      </c>
      <c r="D81" s="86"/>
      <c r="E81" s="86"/>
      <c r="F81" s="86">
        <f>IFERROR(F37/E37-1,"")</f>
        <v>0.2655679154351307</v>
      </c>
      <c r="G81" s="86"/>
      <c r="H81" s="86"/>
      <c r="I81" s="86">
        <f>IFERROR(I37/H37-1,"")</f>
        <v>0.5579911982023984</v>
      </c>
      <c r="J81" s="86"/>
      <c r="K81" s="86"/>
      <c r="L81" s="86" t="str">
        <f>IFERROR(L37/K37-1,"")</f>
        <v/>
      </c>
      <c r="M81" s="86"/>
      <c r="N81" s="86"/>
      <c r="O81" s="86" t="str">
        <f>IFERROR(O37/N37-1,"")</f>
        <v/>
      </c>
      <c r="P81" s="86"/>
      <c r="Q81" s="86"/>
      <c r="R81" s="86">
        <f>IFERROR(R37/Q37-1,"")</f>
        <v>0.22394732494460423</v>
      </c>
      <c r="S81" s="86"/>
      <c r="T81" s="86"/>
      <c r="U81" s="86">
        <f>IFERROR(U37/T37-1,"")</f>
        <v>0.11953977462721932</v>
      </c>
      <c r="V81" s="86"/>
      <c r="W81" s="86"/>
      <c r="X81" s="86">
        <f>IFERROR(X37/W37-1,"")</f>
        <v>0.50662817526324333</v>
      </c>
      <c r="Y81" s="86"/>
      <c r="Z81" s="86"/>
      <c r="AA81" s="86">
        <f>IFERROR(AA37/Z37-1,"")</f>
        <v>1.1751466928686183</v>
      </c>
      <c r="AB81" s="86"/>
      <c r="AC81" s="86"/>
      <c r="AD81" s="86">
        <f>IFERROR(AD37/AC37-1,"")</f>
        <v>0.11879582761808716</v>
      </c>
      <c r="AE81" s="86"/>
      <c r="AF81" s="86"/>
      <c r="AG81" s="86" t="str">
        <f>IFERROR(AG37/AF37-1,"")</f>
        <v/>
      </c>
      <c r="AH81" s="86"/>
      <c r="AI81" s="86"/>
      <c r="AJ81" s="86">
        <f>IFERROR(AJ37/AI37-1,"")</f>
        <v>0.78977278939800843</v>
      </c>
      <c r="AK81" s="86"/>
      <c r="AL81" s="86"/>
      <c r="AM81" s="86" t="str">
        <f>IFERROR(AM37/AL37-1,"")</f>
        <v/>
      </c>
      <c r="AN81" s="86"/>
      <c r="AO81" s="86"/>
      <c r="AP81" s="86">
        <f>IFERROR(AP37/AO37-1,"")</f>
        <v>0.1809827426804862</v>
      </c>
      <c r="AQ81" s="86"/>
      <c r="AR81" s="86"/>
      <c r="AS81" s="86">
        <f>IFERROR(AS37/AR37-1,"")</f>
        <v>-6.8970913259786104E-2</v>
      </c>
      <c r="AT81" s="86"/>
      <c r="AU81" s="86"/>
      <c r="AV81" s="86">
        <f>IFERROR(AV37/AU37-1,"")</f>
        <v>1.6603342371223899</v>
      </c>
      <c r="AW81" s="86"/>
      <c r="AX81" s="86"/>
      <c r="AY81" s="86">
        <f>IFERROR(AY37/AX37-1,"")</f>
        <v>0.11310875069358906</v>
      </c>
      <c r="AZ81" s="86"/>
      <c r="BA81" s="86"/>
      <c r="BB81" s="86">
        <f>IFERROR(BB37/BA37-1,"")</f>
        <v>0.7653870022550171</v>
      </c>
      <c r="BC81" s="86"/>
      <c r="BD81" s="86"/>
      <c r="BE81" s="86">
        <f>IFERROR(BE37/BD37-1,"")</f>
        <v>0.34361799775174573</v>
      </c>
      <c r="BF81" s="86"/>
      <c r="BG81" s="86"/>
      <c r="BH81" s="86">
        <f>IFERROR(BH37/BG37-1,"")</f>
        <v>-0.23990796132521786</v>
      </c>
      <c r="BI81" s="86"/>
      <c r="BJ81" s="86"/>
      <c r="BK81" s="86">
        <f>IFERROR(BK37/BJ37-1,"")</f>
        <v>6.9537343210739566E-2</v>
      </c>
      <c r="BL81" s="86"/>
      <c r="BM81" s="86"/>
      <c r="BN81" s="86">
        <f>IFERROR(BN37/BM37-1,"")</f>
        <v>0.37517345536243174</v>
      </c>
      <c r="BO81" s="86"/>
      <c r="BP81" s="86"/>
      <c r="BQ81" s="86">
        <f>IFERROR(BQ37/BP37-1,"")</f>
        <v>-2.1418833536306803E-2</v>
      </c>
      <c r="BR81" s="86"/>
      <c r="BS81" s="86"/>
      <c r="BT81" s="86">
        <f>IFERROR(BT37/BS37-1,"")</f>
        <v>5.926971048064078E-2</v>
      </c>
      <c r="BU81" s="86"/>
      <c r="BV81" s="86"/>
      <c r="BW81" s="86" t="str">
        <f>IFERROR(BW37/BV37-1,"")</f>
        <v/>
      </c>
      <c r="BX81" s="86"/>
      <c r="BY81" s="86"/>
      <c r="BZ81" s="86">
        <f>IFERROR(BZ37/BY37-1,"")</f>
        <v>1.7447307655191757E-3</v>
      </c>
      <c r="CA81" s="86"/>
      <c r="CB81" s="86"/>
      <c r="CC81" s="86">
        <f>IFERROR(CC37/CB37-1,"")</f>
        <v>0.11855289620634268</v>
      </c>
      <c r="CD81" s="86"/>
      <c r="CE81" s="86"/>
      <c r="CF81" s="86" t="str">
        <f>IFERROR(CF37/CE37-1,"")</f>
        <v/>
      </c>
      <c r="CG81" s="86"/>
      <c r="CH81" s="86"/>
      <c r="CI81" s="86">
        <f>IFERROR(CI37/CH37-1,"")</f>
        <v>0.17410541954625414</v>
      </c>
      <c r="CJ81" s="86"/>
    </row>
    <row r="82" spans="1:88" x14ac:dyDescent="0.2">
      <c r="A82" s="96" t="s">
        <v>223</v>
      </c>
      <c r="B82" s="86"/>
      <c r="C82" s="86">
        <f>IFERROR(C38/B38-1,"")</f>
        <v>2.71107028155848</v>
      </c>
      <c r="D82" s="86"/>
      <c r="E82" s="86"/>
      <c r="F82" s="86">
        <f>IFERROR(F38/E38-1,"")</f>
        <v>1.3281248691258574E-2</v>
      </c>
      <c r="G82" s="86"/>
      <c r="H82" s="86"/>
      <c r="I82" s="86">
        <f>IFERROR(I38/H38-1,"")</f>
        <v>0.26058826801057333</v>
      </c>
      <c r="J82" s="86"/>
      <c r="K82" s="86"/>
      <c r="L82" s="86" t="str">
        <f>IFERROR(L38/K38-1,"")</f>
        <v/>
      </c>
      <c r="M82" s="86"/>
      <c r="N82" s="86"/>
      <c r="O82" s="86" t="str">
        <f>IFERROR(O38/N38-1,"")</f>
        <v/>
      </c>
      <c r="P82" s="86"/>
      <c r="Q82" s="86"/>
      <c r="R82" s="86" t="str">
        <f>IFERROR(R38/Q38-1,"")</f>
        <v/>
      </c>
      <c r="S82" s="86"/>
      <c r="T82" s="86"/>
      <c r="U82" s="86" t="str">
        <f>IFERROR(U38/T38-1,"")</f>
        <v/>
      </c>
      <c r="V82" s="86"/>
      <c r="W82" s="86"/>
      <c r="X82" s="86">
        <f>IFERROR(X38/W38-1,"")</f>
        <v>0.35898515480952686</v>
      </c>
      <c r="Y82" s="86"/>
      <c r="Z82" s="86"/>
      <c r="AA82" s="86" t="str">
        <f>IFERROR(AA38/Z38-1,"")</f>
        <v/>
      </c>
      <c r="AB82" s="86"/>
      <c r="AC82" s="86"/>
      <c r="AD82" s="86" t="str">
        <f>IFERROR(AD38/AC38-1,"")</f>
        <v/>
      </c>
      <c r="AE82" s="86"/>
      <c r="AF82" s="86"/>
      <c r="AG82" s="86" t="str">
        <f>IFERROR(AG38/AF38-1,"")</f>
        <v/>
      </c>
      <c r="AH82" s="86"/>
      <c r="AI82" s="86"/>
      <c r="AJ82" s="86" t="str">
        <f>IFERROR(AJ38/AI38-1,"")</f>
        <v/>
      </c>
      <c r="AK82" s="86"/>
      <c r="AL82" s="86"/>
      <c r="AM82" s="86" t="str">
        <f>IFERROR(AM38/AL38-1,"")</f>
        <v/>
      </c>
      <c r="AN82" s="86"/>
      <c r="AO82" s="86"/>
      <c r="AP82" s="86">
        <f>IFERROR(AP38/AO38-1,"")</f>
        <v>0.29220531304888686</v>
      </c>
      <c r="AQ82" s="86"/>
      <c r="AR82" s="86"/>
      <c r="AS82" s="86">
        <f>IFERROR(AS38/AR38-1,"")</f>
        <v>-3.4094965301230351E-2</v>
      </c>
      <c r="AT82" s="86"/>
      <c r="AU82" s="86"/>
      <c r="AV82" s="86">
        <f>IFERROR(AV38/AU38-1,"")</f>
        <v>1.7288710028361218</v>
      </c>
      <c r="AW82" s="86"/>
      <c r="AX82" s="86"/>
      <c r="AY82" s="86">
        <f>IFERROR(AY38/AX38-1,"")</f>
        <v>4.2885688653029108E-2</v>
      </c>
      <c r="AZ82" s="86"/>
      <c r="BA82" s="86"/>
      <c r="BB82" s="86">
        <f>IFERROR(BB38/BA38-1,"")</f>
        <v>0.84235286350913841</v>
      </c>
      <c r="BC82" s="86"/>
      <c r="BD82" s="86"/>
      <c r="BE82" s="86">
        <f>IFERROR(BE38/BD38-1,"")</f>
        <v>0.17140288282273786</v>
      </c>
      <c r="BF82" s="86"/>
      <c r="BG82" s="86"/>
      <c r="BH82" s="86">
        <f>IFERROR(BH38/BG38-1,"")</f>
        <v>-0.33792136098134018</v>
      </c>
      <c r="BI82" s="86"/>
      <c r="BJ82" s="86"/>
      <c r="BK82" s="86">
        <f>IFERROR(BK38/BJ38-1,"")</f>
        <v>-1.0324207700419086E-2</v>
      </c>
      <c r="BL82" s="86"/>
      <c r="BM82" s="86"/>
      <c r="BN82" s="86">
        <f>IFERROR(BN38/BM38-1,"")</f>
        <v>0.13852925433836338</v>
      </c>
      <c r="BO82" s="86"/>
      <c r="BP82" s="86"/>
      <c r="BQ82" s="86" t="str">
        <f>IFERROR(BQ38/BP38-1,"")</f>
        <v/>
      </c>
      <c r="BR82" s="86"/>
      <c r="BS82" s="86"/>
      <c r="BT82" s="86">
        <f>IFERROR(BT38/BS38-1,"")</f>
        <v>0.34723928559449613</v>
      </c>
      <c r="BU82" s="86"/>
      <c r="BV82" s="86"/>
      <c r="BW82" s="86">
        <f>IFERROR(BW38/BV38-1,"")</f>
        <v>7.1399611495800386</v>
      </c>
      <c r="BX82" s="86"/>
      <c r="BY82" s="86"/>
      <c r="BZ82" s="86">
        <f>IFERROR(BZ38/BY38-1,"")</f>
        <v>-2.0311141086183926E-2</v>
      </c>
      <c r="CA82" s="86"/>
      <c r="CB82" s="86"/>
      <c r="CC82" s="86" t="str">
        <f>IFERROR(CC38/CB38-1,"")</f>
        <v/>
      </c>
      <c r="CD82" s="86"/>
      <c r="CE82" s="86"/>
      <c r="CF82" s="86" t="str">
        <f>IFERROR(CF38/CE38-1,"")</f>
        <v/>
      </c>
      <c r="CG82" s="86"/>
      <c r="CH82" s="86"/>
      <c r="CI82" s="86">
        <f>IFERROR(CI38/CH38-1,"")</f>
        <v>0.21533245253356137</v>
      </c>
      <c r="CJ82" s="86"/>
    </row>
    <row r="83" spans="1:88" x14ac:dyDescent="0.2">
      <c r="A83" s="96" t="s">
        <v>224</v>
      </c>
      <c r="B83" s="86"/>
      <c r="C83" s="86">
        <f>IFERROR(C39/B39-1,"")</f>
        <v>-0.18312548481412971</v>
      </c>
      <c r="D83" s="86"/>
      <c r="E83" s="86"/>
      <c r="F83" s="86">
        <f>IFERROR(F39/E39-1,"")</f>
        <v>1.4268117681304484</v>
      </c>
      <c r="G83" s="86"/>
      <c r="H83" s="86"/>
      <c r="I83" s="86">
        <f>IFERROR(I39/H39-1,"")</f>
        <v>1.7632114720722316</v>
      </c>
      <c r="J83" s="86"/>
      <c r="K83" s="86"/>
      <c r="L83" s="86" t="str">
        <f>IFERROR(L39/K39-1,"")</f>
        <v/>
      </c>
      <c r="M83" s="86"/>
      <c r="N83" s="86"/>
      <c r="O83" s="86" t="str">
        <f>IFERROR(O39/N39-1,"")</f>
        <v/>
      </c>
      <c r="P83" s="86"/>
      <c r="Q83" s="86"/>
      <c r="R83" s="86">
        <f>IFERROR(R39/Q39-1,"")</f>
        <v>0.26555412458958827</v>
      </c>
      <c r="S83" s="86"/>
      <c r="T83" s="86"/>
      <c r="U83" s="86">
        <f>IFERROR(U39/T39-1,"")</f>
        <v>0.84256319869123208</v>
      </c>
      <c r="V83" s="86"/>
      <c r="W83" s="86"/>
      <c r="X83" s="86">
        <f>IFERROR(X39/W39-1,"")</f>
        <v>-0.27695257276758911</v>
      </c>
      <c r="Y83" s="86"/>
      <c r="Z83" s="86"/>
      <c r="AA83" s="86">
        <f>IFERROR(AA39/Z39-1,"")</f>
        <v>0.76187397300495974</v>
      </c>
      <c r="AB83" s="86"/>
      <c r="AC83" s="86"/>
      <c r="AD83" s="86">
        <f>IFERROR(AD39/AC39-1,"")</f>
        <v>-3.6411693582524274E-2</v>
      </c>
      <c r="AE83" s="86"/>
      <c r="AF83" s="86"/>
      <c r="AG83" s="86">
        <f>IFERROR(AG39/AF39-1,"")</f>
        <v>-0.88650958855573769</v>
      </c>
      <c r="AH83" s="86"/>
      <c r="AI83" s="86"/>
      <c r="AJ83" s="86">
        <f>IFERROR(AJ39/AI39-1,"")</f>
        <v>0.38325246800157631</v>
      </c>
      <c r="AK83" s="86"/>
      <c r="AL83" s="86"/>
      <c r="AM83" s="86">
        <f>IFERROR(AM39/AL39-1,"")</f>
        <v>802.2717400048266</v>
      </c>
      <c r="AN83" s="86"/>
      <c r="AO83" s="86"/>
      <c r="AP83" s="86">
        <f>IFERROR(AP39/AO39-1,"")</f>
        <v>-0.48291649136978532</v>
      </c>
      <c r="AQ83" s="86"/>
      <c r="AR83" s="86"/>
      <c r="AS83" s="86">
        <f>IFERROR(AS39/AR39-1,"")</f>
        <v>-0.25224092931870856</v>
      </c>
      <c r="AT83" s="86"/>
      <c r="AU83" s="86"/>
      <c r="AV83" s="86">
        <f>IFERROR(AV39/AU39-1,"")</f>
        <v>8.3773356054828163E-3</v>
      </c>
      <c r="AW83" s="86"/>
      <c r="AX83" s="86"/>
      <c r="AY83" s="86">
        <f>IFERROR(AY39/AX39-1,"")</f>
        <v>0.1459879102717685</v>
      </c>
      <c r="AZ83" s="86"/>
      <c r="BA83" s="86"/>
      <c r="BB83" s="86">
        <f>IFERROR(BB39/BA39-1,"")</f>
        <v>1.24912684187733</v>
      </c>
      <c r="BC83" s="86"/>
      <c r="BD83" s="86"/>
      <c r="BE83" s="86">
        <f>IFERROR(BE39/BD39-1,"")</f>
        <v>0.58570479089944172</v>
      </c>
      <c r="BF83" s="86"/>
      <c r="BG83" s="86"/>
      <c r="BH83" s="86">
        <f>IFERROR(BH39/BG39-1,"")</f>
        <v>0.35231039230521355</v>
      </c>
      <c r="BI83" s="86"/>
      <c r="BJ83" s="86"/>
      <c r="BK83" s="86">
        <f>IFERROR(BK39/BJ39-1,"")</f>
        <v>0.11181854964425209</v>
      </c>
      <c r="BL83" s="86"/>
      <c r="BM83" s="86"/>
      <c r="BN83" s="86">
        <f>IFERROR(BN39/BM39-1,"")</f>
        <v>-1.7263792177837245E-2</v>
      </c>
      <c r="BO83" s="86"/>
      <c r="BP83" s="86"/>
      <c r="BQ83" s="86" t="str">
        <f>IFERROR(BQ39/BP39-1,"")</f>
        <v/>
      </c>
      <c r="BR83" s="86"/>
      <c r="BS83" s="86"/>
      <c r="BT83" s="86" t="str">
        <f>IFERROR(BT39/BS39-1,"")</f>
        <v/>
      </c>
      <c r="BU83" s="86"/>
      <c r="BV83" s="86"/>
      <c r="BW83" s="86">
        <f>IFERROR(BW39/BV39-1,"")</f>
        <v>3.3111660504740739</v>
      </c>
      <c r="BX83" s="86"/>
      <c r="BY83" s="86"/>
      <c r="BZ83" s="86" t="str">
        <f>IFERROR(BZ39/BY39-1,"")</f>
        <v/>
      </c>
      <c r="CA83" s="86"/>
      <c r="CB83" s="86"/>
      <c r="CC83" s="86">
        <f>IFERROR(CC39/CB39-1,"")</f>
        <v>9.6846629436213583E-3</v>
      </c>
      <c r="CD83" s="86"/>
      <c r="CE83" s="86"/>
      <c r="CF83" s="86" t="str">
        <f>IFERROR(CF39/CE39-1,"")</f>
        <v/>
      </c>
      <c r="CG83" s="86"/>
      <c r="CH83" s="86"/>
      <c r="CI83" s="86">
        <f>IFERROR(CI39/CH39-1,"")</f>
        <v>4.031579905630478E-2</v>
      </c>
      <c r="CJ83" s="86"/>
    </row>
    <row r="84" spans="1:88" x14ac:dyDescent="0.2">
      <c r="A84" s="96" t="s">
        <v>64</v>
      </c>
      <c r="B84" s="86"/>
      <c r="C84" s="86">
        <f>IFERROR(C40/B40-1,"")</f>
        <v>1.1344423544504592</v>
      </c>
      <c r="D84" s="86"/>
      <c r="E84" s="86"/>
      <c r="F84" s="86">
        <f>IFERROR(F40/E40-1,"")</f>
        <v>0.98153053268358437</v>
      </c>
      <c r="G84" s="86"/>
      <c r="H84" s="86"/>
      <c r="I84" s="86">
        <f>IFERROR(I40/H40-1,"")</f>
        <v>1.6682426583441048</v>
      </c>
      <c r="J84" s="86"/>
      <c r="K84" s="86"/>
      <c r="L84" s="86" t="str">
        <f>IFERROR(L40/K40-1,"")</f>
        <v/>
      </c>
      <c r="M84" s="86"/>
      <c r="N84" s="86"/>
      <c r="O84" s="86" t="str">
        <f>IFERROR(O40/N40-1,"")</f>
        <v/>
      </c>
      <c r="P84" s="86"/>
      <c r="Q84" s="86"/>
      <c r="R84" s="86">
        <f>IFERROR(R40/Q40-1,"")</f>
        <v>0.18708638015011214</v>
      </c>
      <c r="S84" s="86"/>
      <c r="T84" s="86"/>
      <c r="U84" s="86">
        <f>IFERROR(U40/T40-1,"")</f>
        <v>3.0101416127305463</v>
      </c>
      <c r="V84" s="86"/>
      <c r="W84" s="86"/>
      <c r="X84" s="86">
        <f>IFERROR(X40/W40-1,"")</f>
        <v>1.5710481233599407</v>
      </c>
      <c r="Y84" s="86"/>
      <c r="Z84" s="86"/>
      <c r="AA84" s="86">
        <f>IFERROR(AA40/Z40-1,"")</f>
        <v>-3.7351140094021296</v>
      </c>
      <c r="AB84" s="86"/>
      <c r="AC84" s="86"/>
      <c r="AD84" s="86">
        <f>IFERROR(AD40/AC40-1,"")</f>
        <v>-0.6326730213575873</v>
      </c>
      <c r="AE84" s="86"/>
      <c r="AF84" s="86"/>
      <c r="AG84" s="86">
        <f>IFERROR(AG40/AF40-1,"")</f>
        <v>-0.88650958855573769</v>
      </c>
      <c r="AH84" s="86"/>
      <c r="AI84" s="86"/>
      <c r="AJ84" s="86">
        <f>IFERROR(AJ40/AI40-1,"")</f>
        <v>4.9908645574773782</v>
      </c>
      <c r="AK84" s="86"/>
      <c r="AL84" s="86"/>
      <c r="AM84" s="86">
        <f>IFERROR(AM40/AL40-1,"")</f>
        <v>330.33022283002174</v>
      </c>
      <c r="AN84" s="86"/>
      <c r="AO84" s="86"/>
      <c r="AP84" s="86">
        <f>IFERROR(AP40/AO40-1,"")</f>
        <v>0.41386558114840954</v>
      </c>
      <c r="AQ84" s="86"/>
      <c r="AR84" s="86"/>
      <c r="AS84" s="86">
        <f>IFERROR(AS40/AR40-1,"")</f>
        <v>-9.1269607962981669E-2</v>
      </c>
      <c r="AT84" s="86"/>
      <c r="AU84" s="86"/>
      <c r="AV84" s="86">
        <f>IFERROR(AV40/AU40-1,"")</f>
        <v>3.0590643037752923</v>
      </c>
      <c r="AW84" s="86"/>
      <c r="AX84" s="86"/>
      <c r="AY84" s="86">
        <f>IFERROR(AY40/AX40-1,"")</f>
        <v>0.20920892753252263</v>
      </c>
      <c r="AZ84" s="86"/>
      <c r="BA84" s="86"/>
      <c r="BB84" s="86">
        <f>IFERROR(BB40/BA40-1,"")</f>
        <v>7.4314478614601605</v>
      </c>
      <c r="BC84" s="86"/>
      <c r="BD84" s="86"/>
      <c r="BE84" s="86">
        <f>IFERROR(BE40/BD40-1,"")</f>
        <v>26.371009863216937</v>
      </c>
      <c r="BF84" s="86"/>
      <c r="BG84" s="86"/>
      <c r="BH84" s="86">
        <f>IFERROR(BH40/BG40-1,"")</f>
        <v>0.43550819415111186</v>
      </c>
      <c r="BI84" s="86"/>
      <c r="BJ84" s="86"/>
      <c r="BK84" s="86">
        <f>IFERROR(BK40/BJ40-1,"")</f>
        <v>9.0110045230170632E-2</v>
      </c>
      <c r="BL84" s="86"/>
      <c r="BM84" s="86"/>
      <c r="BN84" s="86">
        <f>IFERROR(BN40/BM40-1,"")</f>
        <v>2.3753586845671628</v>
      </c>
      <c r="BO84" s="86"/>
      <c r="BP84" s="86"/>
      <c r="BQ84" s="86">
        <f>IFERROR(BQ40/BP40-1,"")</f>
        <v>-2.1418833536306803E-2</v>
      </c>
      <c r="BR84" s="86"/>
      <c r="BS84" s="86"/>
      <c r="BT84" s="86">
        <f>IFERROR(BT40/BS40-1,"")</f>
        <v>1.1170442340135533E-2</v>
      </c>
      <c r="BU84" s="86"/>
      <c r="BV84" s="86"/>
      <c r="BW84" s="86">
        <f>IFERROR(BW40/BV40-1,"")</f>
        <v>3.988175787927692</v>
      </c>
      <c r="BX84" s="86"/>
      <c r="BY84" s="86"/>
      <c r="BZ84" s="86">
        <f>IFERROR(BZ40/BY40-1,"")</f>
        <v>5.2783193910959092E-3</v>
      </c>
      <c r="CA84" s="86"/>
      <c r="CB84" s="86"/>
      <c r="CC84" s="86">
        <f>IFERROR(CC40/CB40-1,"")</f>
        <v>0.81201630016377147</v>
      </c>
      <c r="CD84" s="86"/>
      <c r="CE84" s="86"/>
      <c r="CF84" s="86" t="str">
        <f>IFERROR(CF40/CE40-1,"")</f>
        <v/>
      </c>
      <c r="CG84" s="86"/>
      <c r="CH84" s="86"/>
      <c r="CI84" s="86">
        <f>IFERROR(CI40/CH40-1,"")</f>
        <v>0.24206815394726156</v>
      </c>
      <c r="CJ84" s="86"/>
    </row>
    <row r="85" spans="1:88" x14ac:dyDescent="0.2">
      <c r="A85" s="216"/>
    </row>
    <row r="86" spans="1:88" x14ac:dyDescent="0.2">
      <c r="A86" s="216"/>
    </row>
    <row r="87" spans="1:88" x14ac:dyDescent="0.2">
      <c r="A87" s="216"/>
    </row>
    <row r="88" spans="1:88" x14ac:dyDescent="0.2">
      <c r="A88" s="216"/>
    </row>
    <row r="89" spans="1:88" x14ac:dyDescent="0.2">
      <c r="A89" s="216"/>
    </row>
    <row r="90" spans="1:88" x14ac:dyDescent="0.2">
      <c r="A90" s="216"/>
    </row>
    <row r="91" spans="1:88" x14ac:dyDescent="0.2">
      <c r="A91" s="216"/>
    </row>
    <row r="92" spans="1:88" x14ac:dyDescent="0.2">
      <c r="A92" s="216"/>
    </row>
    <row r="93" spans="1:88" x14ac:dyDescent="0.2">
      <c r="A93" s="216"/>
    </row>
    <row r="94" spans="1:88" x14ac:dyDescent="0.2">
      <c r="A94" s="216"/>
    </row>
    <row r="95" spans="1:88" x14ac:dyDescent="0.2">
      <c r="A95" s="216"/>
    </row>
    <row r="96" spans="1:88"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333" t="s">
        <v>103</v>
      </c>
    </row>
    <row r="127" spans="1:1" x14ac:dyDescent="0.2">
      <c r="A127" s="333"/>
    </row>
    <row r="128" spans="1:1" x14ac:dyDescent="0.2">
      <c r="A128" s="333" t="s">
        <v>447</v>
      </c>
    </row>
    <row r="129" spans="1:85" x14ac:dyDescent="0.2">
      <c r="A129" s="333"/>
    </row>
    <row r="130" spans="1:85" ht="24" x14ac:dyDescent="0.2">
      <c r="A130" s="244" t="s">
        <v>448</v>
      </c>
    </row>
    <row r="131" spans="1:85" x14ac:dyDescent="0.2">
      <c r="A131" s="216"/>
    </row>
    <row r="132" spans="1:85" x14ac:dyDescent="0.2">
      <c r="A132" s="216"/>
    </row>
    <row r="133" spans="1:85" x14ac:dyDescent="0.2">
      <c r="A133" s="216"/>
    </row>
    <row r="134" spans="1:85" x14ac:dyDescent="0.2">
      <c r="A134" s="216"/>
    </row>
    <row r="135" spans="1:85" x14ac:dyDescent="0.2">
      <c r="A135" s="216"/>
    </row>
    <row r="136" spans="1:85" x14ac:dyDescent="0.2">
      <c r="A136" s="216"/>
    </row>
    <row r="137" spans="1:85" x14ac:dyDescent="0.2">
      <c r="A137" s="216"/>
    </row>
    <row r="138" spans="1:85" x14ac:dyDescent="0.2">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245"/>
      <c r="AE138" s="245"/>
      <c r="AF138" s="245"/>
      <c r="AG138" s="245"/>
      <c r="AH138" s="245"/>
      <c r="AI138" s="245"/>
      <c r="AJ138" s="245"/>
      <c r="AK138" s="245"/>
      <c r="AL138" s="245"/>
      <c r="AM138" s="245"/>
      <c r="AN138" s="245"/>
      <c r="AO138" s="245"/>
      <c r="AP138" s="245"/>
      <c r="AQ138" s="245"/>
      <c r="AR138" s="245"/>
      <c r="AS138" s="245"/>
      <c r="AT138" s="245"/>
      <c r="AU138" s="245"/>
      <c r="AV138" s="245"/>
      <c r="AW138" s="245"/>
      <c r="AX138" s="245"/>
      <c r="AY138" s="245"/>
      <c r="AZ138" s="245"/>
      <c r="BA138" s="245"/>
      <c r="BB138" s="245"/>
      <c r="BC138" s="245"/>
      <c r="BD138" s="245"/>
      <c r="BE138" s="245"/>
      <c r="BF138" s="245"/>
      <c r="BG138" s="245"/>
      <c r="BH138" s="245"/>
      <c r="BI138" s="245"/>
      <c r="BJ138" s="245"/>
      <c r="BK138" s="245"/>
      <c r="BL138" s="245"/>
      <c r="BM138" s="245"/>
      <c r="BN138" s="245"/>
      <c r="BO138" s="245"/>
      <c r="BP138" s="245"/>
      <c r="BQ138" s="245"/>
      <c r="BR138" s="245"/>
      <c r="BS138" s="245"/>
      <c r="BT138" s="245"/>
      <c r="BU138" s="245"/>
      <c r="BV138" s="245"/>
      <c r="BW138" s="245"/>
      <c r="BX138" s="245"/>
      <c r="BY138" s="245"/>
      <c r="BZ138" s="245"/>
      <c r="CA138" s="245"/>
      <c r="CB138" s="245"/>
      <c r="CC138" s="245"/>
      <c r="CD138" s="245"/>
      <c r="CE138" s="245"/>
      <c r="CF138" s="245"/>
      <c r="CG138" s="245"/>
    </row>
    <row r="139" spans="1:85" x14ac:dyDescent="0.2">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c r="BV139" s="245"/>
      <c r="BW139" s="245"/>
      <c r="BX139" s="245"/>
      <c r="BY139" s="245"/>
      <c r="BZ139" s="245"/>
      <c r="CA139" s="245"/>
      <c r="CB139" s="245"/>
      <c r="CC139" s="245"/>
      <c r="CD139" s="245"/>
      <c r="CE139" s="245"/>
      <c r="CF139" s="245"/>
      <c r="CG139" s="245"/>
    </row>
    <row r="141" spans="1:85" x14ac:dyDescent="0.2">
      <c r="A141" s="244"/>
    </row>
    <row r="142" spans="1:85" x14ac:dyDescent="0.2">
      <c r="A142" s="216"/>
    </row>
    <row r="143" spans="1:85" x14ac:dyDescent="0.2">
      <c r="A143" s="216"/>
    </row>
    <row r="144" spans="1:85" x14ac:dyDescent="0.2">
      <c r="A144" s="216"/>
    </row>
    <row r="145" spans="2:85" x14ac:dyDescent="0.2">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c r="AV145" s="245"/>
      <c r="AW145" s="245"/>
      <c r="AX145" s="245"/>
      <c r="AY145" s="245"/>
      <c r="AZ145" s="245"/>
      <c r="BA145" s="245"/>
      <c r="BB145" s="245"/>
      <c r="BC145" s="245"/>
      <c r="BD145" s="245"/>
      <c r="BE145" s="245"/>
      <c r="BF145" s="245"/>
      <c r="BG145" s="245"/>
      <c r="BH145" s="245"/>
      <c r="BI145" s="245"/>
      <c r="BJ145" s="245"/>
      <c r="BK145" s="245"/>
      <c r="BL145" s="245"/>
      <c r="BM145" s="245"/>
      <c r="BN145" s="245"/>
      <c r="BO145" s="245"/>
      <c r="BP145" s="245"/>
      <c r="BQ145" s="245"/>
      <c r="BR145" s="245"/>
      <c r="BS145" s="245"/>
      <c r="BT145" s="245"/>
      <c r="BU145" s="245"/>
      <c r="BV145" s="245"/>
      <c r="BW145" s="245"/>
      <c r="BX145" s="245"/>
      <c r="BY145" s="245"/>
      <c r="BZ145" s="245"/>
      <c r="CA145" s="245"/>
      <c r="CB145" s="245"/>
      <c r="CC145" s="245"/>
      <c r="CD145" s="245"/>
      <c r="CE145" s="245"/>
      <c r="CF145" s="245"/>
      <c r="CG145" s="245"/>
    </row>
    <row r="148" spans="2:85" x14ac:dyDescent="0.2">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c r="BB148" s="245"/>
      <c r="BC148" s="245"/>
      <c r="BD148" s="245"/>
      <c r="BE148" s="245"/>
      <c r="BF148" s="245"/>
      <c r="BG148" s="245"/>
      <c r="BH148" s="245"/>
      <c r="BI148" s="245"/>
      <c r="BJ148" s="245"/>
      <c r="BK148" s="245"/>
      <c r="BL148" s="245"/>
      <c r="BM148" s="245"/>
      <c r="BN148" s="245"/>
      <c r="BO148" s="245"/>
      <c r="BP148" s="245"/>
      <c r="BQ148" s="245"/>
      <c r="BR148" s="245"/>
      <c r="BS148" s="245"/>
      <c r="BT148" s="245"/>
      <c r="BU148" s="245"/>
      <c r="BV148" s="245"/>
      <c r="BW148" s="245"/>
      <c r="BX148" s="245"/>
      <c r="BY148" s="245"/>
      <c r="BZ148" s="245"/>
      <c r="CA148" s="245"/>
      <c r="CB148" s="245"/>
      <c r="CC148" s="245"/>
      <c r="CD148" s="245"/>
      <c r="CE148" s="245"/>
      <c r="CF148" s="245"/>
      <c r="CG148" s="245"/>
    </row>
    <row r="151" spans="2:85" x14ac:dyDescent="0.2">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c r="AV151" s="245"/>
      <c r="AW151" s="245"/>
      <c r="AX151" s="245"/>
      <c r="AY151" s="245"/>
      <c r="AZ151" s="245"/>
      <c r="BA151" s="245"/>
      <c r="BB151" s="245"/>
      <c r="BC151" s="245"/>
      <c r="BD151" s="245"/>
      <c r="BE151" s="245"/>
      <c r="BF151" s="245"/>
      <c r="BG151" s="245"/>
      <c r="BH151" s="245"/>
      <c r="BI151" s="245"/>
      <c r="BJ151" s="245"/>
      <c r="BK151" s="245"/>
      <c r="BL151" s="245"/>
      <c r="BM151" s="245"/>
      <c r="BN151" s="245"/>
      <c r="BO151" s="245"/>
      <c r="BP151" s="245"/>
      <c r="BQ151" s="245"/>
      <c r="BR151" s="245"/>
      <c r="BS151" s="245"/>
      <c r="BT151" s="245"/>
      <c r="BU151" s="245"/>
      <c r="BV151" s="245"/>
      <c r="BW151" s="245"/>
      <c r="BX151" s="245"/>
      <c r="BY151" s="245"/>
      <c r="BZ151" s="245"/>
      <c r="CA151" s="245"/>
      <c r="CB151" s="245"/>
      <c r="CC151" s="245"/>
      <c r="CD151" s="245"/>
      <c r="CE151" s="245"/>
      <c r="CF151" s="245"/>
      <c r="CG151" s="245"/>
    </row>
    <row r="153" spans="2:85" x14ac:dyDescent="0.2">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N153" s="245"/>
      <c r="BO153" s="245"/>
      <c r="BP153" s="245"/>
      <c r="BQ153" s="245"/>
      <c r="BR153" s="245"/>
      <c r="BS153" s="245"/>
      <c r="BT153" s="245"/>
      <c r="BU153" s="245"/>
      <c r="BV153" s="245"/>
      <c r="BW153" s="245"/>
      <c r="BX153" s="245"/>
      <c r="BY153" s="245"/>
      <c r="BZ153" s="245"/>
      <c r="CA153" s="245"/>
      <c r="CB153" s="245"/>
      <c r="CC153" s="245"/>
      <c r="CD153" s="245"/>
      <c r="CE153" s="245"/>
      <c r="CF153" s="245"/>
      <c r="CG153" s="245"/>
    </row>
    <row r="158" spans="2:85"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c r="X158" s="228"/>
      <c r="Y158" s="228"/>
      <c r="Z158" s="228"/>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8"/>
      <c r="BK158" s="228"/>
      <c r="BL158" s="228"/>
      <c r="BM158" s="228"/>
      <c r="BN158" s="228"/>
      <c r="BO158" s="228"/>
      <c r="BP158" s="228"/>
      <c r="BQ158" s="228"/>
      <c r="BR158" s="228"/>
      <c r="BS158" s="228"/>
      <c r="BT158" s="228"/>
      <c r="BU158" s="228"/>
      <c r="BV158" s="228"/>
      <c r="BW158" s="228"/>
      <c r="BX158" s="228"/>
      <c r="BY158" s="228"/>
      <c r="BZ158" s="228"/>
      <c r="CA158" s="228"/>
      <c r="CB158" s="228"/>
      <c r="CC158" s="228"/>
      <c r="CD158" s="228"/>
      <c r="CE158" s="228"/>
      <c r="CF158" s="228"/>
      <c r="CG158" s="228"/>
    </row>
    <row r="167" spans="1:85" s="216" customFormat="1" x14ac:dyDescent="0.2">
      <c r="A167" s="214"/>
    </row>
    <row r="168" spans="1:85" s="216" customFormat="1" x14ac:dyDescent="0.2"/>
    <row r="169" spans="1:85" s="216" customFormat="1" x14ac:dyDescent="0.2"/>
    <row r="174" spans="1:85" x14ac:dyDescent="0.2">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c r="AR174" s="245"/>
      <c r="AS174" s="245"/>
      <c r="AT174" s="245"/>
      <c r="AU174" s="245"/>
      <c r="AV174" s="245"/>
      <c r="AW174" s="245"/>
      <c r="AX174" s="245"/>
      <c r="AY174" s="245"/>
      <c r="AZ174" s="245"/>
      <c r="BA174" s="245"/>
      <c r="BB174" s="245"/>
      <c r="BC174" s="245"/>
      <c r="BD174" s="245"/>
      <c r="BE174" s="245"/>
      <c r="BF174" s="245"/>
      <c r="BG174" s="245"/>
      <c r="BH174" s="245"/>
      <c r="BI174" s="245"/>
      <c r="BJ174" s="245"/>
      <c r="BK174" s="245"/>
      <c r="BL174" s="245"/>
      <c r="BM174" s="245"/>
      <c r="BN174" s="245"/>
      <c r="BO174" s="245"/>
      <c r="BP174" s="245"/>
      <c r="BQ174" s="245"/>
      <c r="BR174" s="245"/>
      <c r="BS174" s="245"/>
      <c r="BT174" s="245"/>
      <c r="BU174" s="245"/>
      <c r="BV174" s="245"/>
      <c r="BW174" s="245"/>
      <c r="BX174" s="245"/>
      <c r="BY174" s="245"/>
      <c r="BZ174" s="245"/>
      <c r="CA174" s="245"/>
      <c r="CB174" s="245"/>
      <c r="CC174" s="245"/>
      <c r="CD174" s="245"/>
      <c r="CE174" s="245"/>
      <c r="CF174" s="245"/>
      <c r="CG174" s="245"/>
    </row>
    <row r="179" spans="2:85" x14ac:dyDescent="0.2">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c r="AS179" s="245"/>
      <c r="AT179" s="245"/>
      <c r="AU179" s="245"/>
      <c r="AV179" s="245"/>
      <c r="AW179" s="245"/>
      <c r="AX179" s="245"/>
      <c r="AY179" s="245"/>
      <c r="AZ179" s="245"/>
      <c r="BA179" s="245"/>
      <c r="BB179" s="245"/>
      <c r="BC179" s="245"/>
      <c r="BD179" s="245"/>
      <c r="BE179" s="245"/>
      <c r="BF179" s="245"/>
      <c r="BG179" s="245"/>
      <c r="BH179" s="245"/>
      <c r="BI179" s="245"/>
      <c r="BJ179" s="245"/>
      <c r="BK179" s="245"/>
      <c r="BL179" s="245"/>
      <c r="BM179" s="245"/>
      <c r="BN179" s="245"/>
      <c r="BO179" s="245"/>
      <c r="BP179" s="245"/>
      <c r="BQ179" s="245"/>
      <c r="BR179" s="245"/>
      <c r="BS179" s="245"/>
      <c r="BT179" s="245"/>
      <c r="BU179" s="245"/>
      <c r="BV179" s="245"/>
      <c r="BW179" s="245"/>
      <c r="BX179" s="245"/>
      <c r="BY179" s="245"/>
      <c r="BZ179" s="245"/>
      <c r="CA179" s="245"/>
      <c r="CB179" s="245"/>
      <c r="CC179" s="245"/>
      <c r="CD179" s="245"/>
      <c r="CE179" s="245"/>
      <c r="CF179" s="245"/>
      <c r="CG179" s="245"/>
    </row>
    <row r="184" spans="2:85" x14ac:dyDescent="0.2">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N184" s="245"/>
      <c r="BO184" s="245"/>
      <c r="BP184" s="245"/>
      <c r="BQ184" s="245"/>
      <c r="BR184" s="245"/>
      <c r="BS184" s="245"/>
      <c r="BT184" s="245"/>
      <c r="BU184" s="245"/>
      <c r="BV184" s="245"/>
      <c r="BW184" s="245"/>
      <c r="BX184" s="245"/>
      <c r="BY184" s="245"/>
      <c r="BZ184" s="245"/>
      <c r="CA184" s="245"/>
      <c r="CB184" s="245"/>
      <c r="CC184" s="245"/>
      <c r="CD184" s="245"/>
      <c r="CE184" s="245"/>
      <c r="CF184" s="245"/>
      <c r="CG184" s="245"/>
    </row>
    <row r="185" spans="2:85" x14ac:dyDescent="0.2">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5"/>
      <c r="BZ185" s="245"/>
      <c r="CA185" s="245"/>
      <c r="CB185" s="245"/>
      <c r="CC185" s="245"/>
      <c r="CD185" s="245"/>
      <c r="CE185" s="245"/>
      <c r="CF185" s="245"/>
      <c r="CG185" s="245"/>
    </row>
    <row r="189" spans="2:85" x14ac:dyDescent="0.2">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c r="AA189" s="245"/>
      <c r="AB189" s="245"/>
      <c r="AC189" s="245"/>
      <c r="AD189" s="245"/>
      <c r="AE189" s="245"/>
      <c r="AF189" s="245"/>
      <c r="AG189" s="245"/>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N189" s="245"/>
      <c r="BO189" s="245"/>
      <c r="BP189" s="245"/>
      <c r="BQ189" s="245"/>
      <c r="BR189" s="245"/>
      <c r="BS189" s="245"/>
      <c r="BT189" s="245"/>
      <c r="BU189" s="245"/>
      <c r="BV189" s="245"/>
      <c r="BW189" s="245"/>
      <c r="BX189" s="245"/>
      <c r="BY189" s="245"/>
      <c r="BZ189" s="245"/>
      <c r="CA189" s="245"/>
      <c r="CB189" s="245"/>
      <c r="CC189" s="245"/>
      <c r="CD189" s="245"/>
      <c r="CE189" s="245"/>
      <c r="CF189" s="245"/>
      <c r="CG189" s="245"/>
    </row>
    <row r="195" spans="2:85" x14ac:dyDescent="0.2">
      <c r="B195" s="228"/>
      <c r="C195" s="216"/>
      <c r="D195" s="216"/>
      <c r="E195" s="228"/>
      <c r="F195" s="216"/>
      <c r="G195" s="216"/>
      <c r="H195" s="228"/>
      <c r="I195" s="216"/>
      <c r="J195" s="216"/>
      <c r="K195" s="228"/>
      <c r="L195" s="216"/>
      <c r="M195" s="216"/>
      <c r="N195" s="228"/>
      <c r="O195" s="216"/>
      <c r="P195" s="216"/>
      <c r="Q195" s="228"/>
      <c r="R195" s="216"/>
      <c r="S195" s="216"/>
      <c r="T195" s="228"/>
      <c r="U195" s="216"/>
      <c r="V195" s="216"/>
      <c r="W195" s="228"/>
      <c r="X195" s="216"/>
      <c r="Y195" s="216"/>
      <c r="Z195" s="228"/>
      <c r="AA195" s="216"/>
      <c r="AB195" s="216"/>
      <c r="AC195" s="228"/>
      <c r="AD195" s="216"/>
      <c r="AE195" s="216"/>
      <c r="AF195" s="228"/>
      <c r="AG195" s="216"/>
      <c r="AH195" s="216"/>
      <c r="AI195" s="228"/>
      <c r="AJ195" s="216"/>
      <c r="AK195" s="216"/>
      <c r="AL195" s="228"/>
      <c r="AM195" s="216"/>
      <c r="AN195" s="216"/>
      <c r="AO195" s="228"/>
      <c r="AP195" s="216"/>
      <c r="AQ195" s="216"/>
      <c r="AR195" s="228"/>
      <c r="AS195" s="216"/>
      <c r="AT195" s="216"/>
      <c r="AU195" s="228"/>
      <c r="AV195" s="216"/>
      <c r="AW195" s="216"/>
      <c r="AX195" s="228"/>
      <c r="AY195" s="216"/>
      <c r="AZ195" s="216"/>
      <c r="BA195" s="228"/>
      <c r="BB195" s="216"/>
      <c r="BC195" s="216"/>
      <c r="BD195" s="228"/>
      <c r="BE195" s="216"/>
      <c r="BF195" s="216"/>
      <c r="BG195" s="228"/>
      <c r="BH195" s="216"/>
      <c r="BI195" s="216"/>
      <c r="BJ195" s="228"/>
      <c r="BK195" s="216"/>
      <c r="BL195" s="216"/>
      <c r="BM195" s="228"/>
      <c r="BN195" s="216"/>
      <c r="BO195" s="216"/>
      <c r="BP195" s="228"/>
      <c r="BQ195" s="216"/>
      <c r="BR195" s="216"/>
      <c r="BS195" s="228"/>
      <c r="BT195" s="216"/>
      <c r="BU195" s="216"/>
      <c r="BV195" s="228"/>
      <c r="BW195" s="216"/>
      <c r="BX195" s="216"/>
      <c r="BY195" s="216"/>
      <c r="BZ195" s="216"/>
      <c r="CA195" s="216"/>
      <c r="CB195" s="216"/>
      <c r="CC195" s="216"/>
      <c r="CD195" s="216"/>
      <c r="CE195" s="216"/>
      <c r="CF195" s="216"/>
      <c r="CG195" s="216"/>
    </row>
    <row r="196" spans="2:85" x14ac:dyDescent="0.2">
      <c r="B196" s="228"/>
      <c r="C196" s="216"/>
      <c r="D196" s="216"/>
      <c r="E196" s="228"/>
      <c r="F196" s="216"/>
      <c r="G196" s="216"/>
      <c r="H196" s="228"/>
      <c r="I196" s="216"/>
      <c r="J196" s="216"/>
      <c r="K196" s="228"/>
      <c r="L196" s="216"/>
      <c r="M196" s="216"/>
      <c r="N196" s="228"/>
      <c r="O196" s="216"/>
      <c r="P196" s="216"/>
      <c r="Q196" s="228"/>
      <c r="R196" s="216"/>
      <c r="S196" s="216"/>
      <c r="T196" s="228"/>
      <c r="U196" s="216"/>
      <c r="V196" s="216"/>
      <c r="W196" s="228"/>
      <c r="X196" s="216"/>
      <c r="Y196" s="216"/>
      <c r="Z196" s="228"/>
      <c r="AA196" s="216"/>
      <c r="AB196" s="216"/>
      <c r="AC196" s="228"/>
      <c r="AD196" s="216"/>
      <c r="AE196" s="216"/>
      <c r="AF196" s="228"/>
      <c r="AG196" s="216"/>
      <c r="AH196" s="216"/>
      <c r="AI196" s="228"/>
      <c r="AJ196" s="216"/>
      <c r="AK196" s="216"/>
      <c r="AL196" s="228"/>
      <c r="AM196" s="216"/>
      <c r="AN196" s="216"/>
      <c r="AO196" s="228"/>
      <c r="AP196" s="216"/>
      <c r="AQ196" s="216"/>
      <c r="AR196" s="228"/>
      <c r="AS196" s="216"/>
      <c r="AT196" s="216"/>
      <c r="AU196" s="228"/>
      <c r="AV196" s="216"/>
      <c r="AW196" s="216"/>
      <c r="AX196" s="228"/>
      <c r="AY196" s="216"/>
      <c r="AZ196" s="216"/>
      <c r="BA196" s="228"/>
      <c r="BB196" s="216"/>
      <c r="BC196" s="216"/>
      <c r="BD196" s="228"/>
      <c r="BE196" s="216"/>
      <c r="BF196" s="216"/>
      <c r="BG196" s="228"/>
      <c r="BH196" s="216"/>
      <c r="BI196" s="216"/>
      <c r="BJ196" s="228"/>
      <c r="BK196" s="216"/>
      <c r="BL196" s="216"/>
      <c r="BM196" s="228"/>
      <c r="BN196" s="216"/>
      <c r="BO196" s="216"/>
      <c r="BP196" s="228"/>
      <c r="BQ196" s="216"/>
      <c r="BR196" s="216"/>
      <c r="BS196" s="228"/>
      <c r="BT196" s="216"/>
      <c r="BU196" s="216"/>
      <c r="BV196" s="228"/>
      <c r="BW196" s="216"/>
      <c r="BX196" s="216"/>
      <c r="BY196" s="216"/>
      <c r="BZ196" s="216"/>
      <c r="CA196" s="216"/>
      <c r="CB196" s="216"/>
      <c r="CC196" s="216"/>
      <c r="CD196" s="216"/>
      <c r="CE196" s="216"/>
      <c r="CF196" s="216"/>
      <c r="CG196" s="216"/>
    </row>
    <row r="197" spans="2:85" x14ac:dyDescent="0.2">
      <c r="B197" s="246"/>
      <c r="C197" s="245"/>
      <c r="D197" s="245"/>
      <c r="E197" s="246"/>
      <c r="F197" s="245"/>
      <c r="G197" s="245"/>
      <c r="H197" s="246"/>
      <c r="I197" s="245"/>
      <c r="J197" s="245"/>
      <c r="K197" s="246"/>
      <c r="L197" s="245"/>
      <c r="M197" s="245"/>
      <c r="N197" s="246"/>
      <c r="O197" s="245"/>
      <c r="P197" s="245"/>
      <c r="Q197" s="246"/>
      <c r="R197" s="245"/>
      <c r="S197" s="245"/>
      <c r="T197" s="246"/>
      <c r="U197" s="245"/>
      <c r="V197" s="245"/>
      <c r="W197" s="246"/>
      <c r="X197" s="245"/>
      <c r="Y197" s="245"/>
      <c r="Z197" s="246"/>
      <c r="AA197" s="245"/>
      <c r="AB197" s="245"/>
      <c r="AC197" s="246"/>
      <c r="AD197" s="245"/>
      <c r="AE197" s="245"/>
      <c r="AF197" s="246"/>
      <c r="AG197" s="245"/>
      <c r="AH197" s="245"/>
      <c r="AI197" s="246"/>
      <c r="AJ197" s="245"/>
      <c r="AK197" s="245"/>
      <c r="AL197" s="246"/>
      <c r="AM197" s="245"/>
      <c r="AN197" s="245"/>
      <c r="AO197" s="246"/>
      <c r="AP197" s="245"/>
      <c r="AQ197" s="245"/>
      <c r="AR197" s="246"/>
      <c r="AS197" s="245"/>
      <c r="AT197" s="245"/>
      <c r="AU197" s="246"/>
      <c r="AV197" s="245"/>
      <c r="AW197" s="245"/>
      <c r="AX197" s="246"/>
      <c r="AY197" s="245"/>
      <c r="AZ197" s="245"/>
      <c r="BA197" s="246"/>
      <c r="BB197" s="245"/>
      <c r="BC197" s="245"/>
      <c r="BD197" s="246"/>
      <c r="BE197" s="245"/>
      <c r="BF197" s="245"/>
      <c r="BG197" s="246"/>
      <c r="BH197" s="245"/>
      <c r="BI197" s="245"/>
      <c r="BJ197" s="246"/>
      <c r="BK197" s="245"/>
      <c r="BL197" s="245"/>
      <c r="BM197" s="246"/>
      <c r="BN197" s="245"/>
      <c r="BO197" s="245"/>
      <c r="BP197" s="246"/>
      <c r="BQ197" s="245"/>
      <c r="BR197" s="245"/>
      <c r="BS197" s="246"/>
      <c r="BT197" s="245"/>
      <c r="BU197" s="245"/>
      <c r="BV197" s="246"/>
      <c r="BW197" s="245"/>
      <c r="BX197" s="245"/>
      <c r="BY197" s="245"/>
      <c r="BZ197" s="245"/>
      <c r="CA197" s="245"/>
      <c r="CB197" s="245"/>
      <c r="CC197" s="245"/>
      <c r="CD197" s="245"/>
      <c r="CE197" s="245"/>
      <c r="CF197" s="245"/>
      <c r="CG197" s="245"/>
    </row>
    <row r="198" spans="2:85" x14ac:dyDescent="0.2">
      <c r="B198" s="246"/>
      <c r="C198" s="245"/>
      <c r="D198" s="245"/>
      <c r="E198" s="246"/>
      <c r="F198" s="245"/>
      <c r="G198" s="245"/>
      <c r="H198" s="246"/>
      <c r="I198" s="245"/>
      <c r="J198" s="245"/>
      <c r="K198" s="246"/>
      <c r="L198" s="245"/>
      <c r="M198" s="245"/>
      <c r="N198" s="246"/>
      <c r="O198" s="245"/>
      <c r="P198" s="245"/>
      <c r="Q198" s="246"/>
      <c r="R198" s="245"/>
      <c r="S198" s="245"/>
      <c r="T198" s="246"/>
      <c r="U198" s="245"/>
      <c r="V198" s="245"/>
      <c r="W198" s="246"/>
      <c r="X198" s="245"/>
      <c r="Y198" s="245"/>
      <c r="Z198" s="246"/>
      <c r="AA198" s="245"/>
      <c r="AB198" s="245"/>
      <c r="AC198" s="246"/>
      <c r="AD198" s="245"/>
      <c r="AE198" s="245"/>
      <c r="AF198" s="246"/>
      <c r="AG198" s="245"/>
      <c r="AH198" s="245"/>
      <c r="AI198" s="246"/>
      <c r="AJ198" s="245"/>
      <c r="AK198" s="245"/>
      <c r="AL198" s="246"/>
      <c r="AM198" s="245"/>
      <c r="AN198" s="245"/>
      <c r="AO198" s="246"/>
      <c r="AP198" s="245"/>
      <c r="AQ198" s="245"/>
      <c r="AR198" s="246"/>
      <c r="AS198" s="245"/>
      <c r="AT198" s="245"/>
      <c r="AU198" s="246"/>
      <c r="AV198" s="245"/>
      <c r="AW198" s="245"/>
      <c r="AX198" s="246"/>
      <c r="AY198" s="245"/>
      <c r="AZ198" s="245"/>
      <c r="BA198" s="246"/>
      <c r="BB198" s="245"/>
      <c r="BC198" s="245"/>
      <c r="BD198" s="246"/>
      <c r="BE198" s="245"/>
      <c r="BF198" s="245"/>
      <c r="BG198" s="246"/>
      <c r="BH198" s="245"/>
      <c r="BI198" s="245"/>
      <c r="BJ198" s="246"/>
      <c r="BK198" s="245"/>
      <c r="BL198" s="245"/>
      <c r="BM198" s="246"/>
      <c r="BN198" s="245"/>
      <c r="BO198" s="245"/>
      <c r="BP198" s="246"/>
      <c r="BQ198" s="245"/>
      <c r="BR198" s="245"/>
      <c r="BS198" s="246"/>
      <c r="BT198" s="245"/>
      <c r="BU198" s="245"/>
      <c r="BV198" s="246"/>
      <c r="BW198" s="245"/>
      <c r="BX198" s="245"/>
      <c r="BY198" s="245"/>
      <c r="BZ198" s="245"/>
      <c r="CA198" s="245"/>
      <c r="CB198" s="245"/>
      <c r="CC198" s="245"/>
      <c r="CD198" s="245"/>
      <c r="CE198" s="245"/>
      <c r="CF198" s="245"/>
      <c r="CG198" s="245"/>
    </row>
    <row r="199" spans="2:85" x14ac:dyDescent="0.2">
      <c r="B199" s="246"/>
      <c r="C199" s="245"/>
      <c r="D199" s="245"/>
      <c r="E199" s="246"/>
      <c r="F199" s="245"/>
      <c r="G199" s="245"/>
      <c r="H199" s="246"/>
      <c r="I199" s="245"/>
      <c r="J199" s="245"/>
      <c r="K199" s="246"/>
      <c r="L199" s="245"/>
      <c r="M199" s="245"/>
      <c r="N199" s="246"/>
      <c r="O199" s="245"/>
      <c r="P199" s="245"/>
      <c r="Q199" s="246"/>
      <c r="R199" s="245"/>
      <c r="S199" s="245"/>
      <c r="T199" s="246"/>
      <c r="U199" s="245"/>
      <c r="V199" s="245"/>
      <c r="W199" s="246"/>
      <c r="X199" s="245"/>
      <c r="Y199" s="245"/>
      <c r="Z199" s="246"/>
      <c r="AA199" s="245"/>
      <c r="AB199" s="245"/>
      <c r="AC199" s="246"/>
      <c r="AD199" s="245"/>
      <c r="AE199" s="245"/>
      <c r="AF199" s="246"/>
      <c r="AG199" s="245"/>
      <c r="AH199" s="245"/>
      <c r="AI199" s="246"/>
      <c r="AJ199" s="245"/>
      <c r="AK199" s="245"/>
      <c r="AL199" s="246"/>
      <c r="AM199" s="245"/>
      <c r="AN199" s="245"/>
      <c r="AO199" s="246"/>
      <c r="AP199" s="245"/>
      <c r="AQ199" s="245"/>
      <c r="AR199" s="246"/>
      <c r="AS199" s="245"/>
      <c r="AT199" s="245"/>
      <c r="AU199" s="246"/>
      <c r="AV199" s="245"/>
      <c r="AW199" s="245"/>
      <c r="AX199" s="246"/>
      <c r="AY199" s="245"/>
      <c r="AZ199" s="245"/>
      <c r="BA199" s="246"/>
      <c r="BB199" s="245"/>
      <c r="BC199" s="245"/>
      <c r="BD199" s="246"/>
      <c r="BE199" s="245"/>
      <c r="BF199" s="245"/>
      <c r="BG199" s="246"/>
      <c r="BH199" s="245"/>
      <c r="BI199" s="245"/>
      <c r="BJ199" s="246"/>
      <c r="BK199" s="245"/>
      <c r="BL199" s="245"/>
      <c r="BM199" s="246"/>
      <c r="BN199" s="245"/>
      <c r="BO199" s="245"/>
      <c r="BP199" s="246"/>
      <c r="BQ199" s="245"/>
      <c r="BR199" s="245"/>
      <c r="BS199" s="246"/>
      <c r="BT199" s="245"/>
      <c r="BU199" s="245"/>
      <c r="BV199" s="246"/>
      <c r="BW199" s="245"/>
      <c r="BX199" s="245"/>
      <c r="BY199" s="245"/>
      <c r="BZ199" s="245"/>
      <c r="CA199" s="245"/>
      <c r="CB199" s="245"/>
      <c r="CC199" s="245"/>
      <c r="CD199" s="245"/>
      <c r="CE199" s="245"/>
      <c r="CF199" s="245"/>
      <c r="CG199" s="245"/>
    </row>
    <row r="200" spans="2:85" x14ac:dyDescent="0.2">
      <c r="B200" s="246"/>
      <c r="C200" s="245"/>
      <c r="D200" s="245"/>
      <c r="E200" s="246"/>
      <c r="F200" s="245"/>
      <c r="G200" s="245"/>
      <c r="H200" s="246"/>
      <c r="I200" s="245"/>
      <c r="J200" s="245"/>
      <c r="K200" s="246"/>
      <c r="L200" s="245"/>
      <c r="M200" s="245"/>
      <c r="N200" s="246"/>
      <c r="O200" s="245"/>
      <c r="P200" s="245"/>
      <c r="Q200" s="246"/>
      <c r="R200" s="245"/>
      <c r="S200" s="245"/>
      <c r="T200" s="246"/>
      <c r="U200" s="245"/>
      <c r="V200" s="245"/>
      <c r="W200" s="246"/>
      <c r="X200" s="245"/>
      <c r="Y200" s="245"/>
      <c r="Z200" s="246"/>
      <c r="AA200" s="245"/>
      <c r="AB200" s="245"/>
      <c r="AC200" s="246"/>
      <c r="AD200" s="245"/>
      <c r="AE200" s="245"/>
      <c r="AF200" s="246"/>
      <c r="AG200" s="245"/>
      <c r="AH200" s="245"/>
      <c r="AI200" s="246"/>
      <c r="AJ200" s="245"/>
      <c r="AK200" s="245"/>
      <c r="AL200" s="246"/>
      <c r="AM200" s="245"/>
      <c r="AN200" s="245"/>
      <c r="AO200" s="246"/>
      <c r="AP200" s="245"/>
      <c r="AQ200" s="245"/>
      <c r="AR200" s="246"/>
      <c r="AS200" s="245"/>
      <c r="AT200" s="245"/>
      <c r="AU200" s="246"/>
      <c r="AV200" s="245"/>
      <c r="AW200" s="245"/>
      <c r="AX200" s="246"/>
      <c r="AY200" s="245"/>
      <c r="AZ200" s="245"/>
      <c r="BA200" s="246"/>
      <c r="BB200" s="245"/>
      <c r="BC200" s="245"/>
      <c r="BD200" s="246"/>
      <c r="BE200" s="245"/>
      <c r="BF200" s="245"/>
      <c r="BG200" s="246"/>
      <c r="BH200" s="245"/>
      <c r="BI200" s="245"/>
      <c r="BJ200" s="246"/>
      <c r="BK200" s="245"/>
      <c r="BL200" s="245"/>
      <c r="BM200" s="246"/>
      <c r="BN200" s="245"/>
      <c r="BO200" s="245"/>
      <c r="BP200" s="246"/>
      <c r="BQ200" s="245"/>
      <c r="BR200" s="245"/>
      <c r="BS200" s="246"/>
      <c r="BT200" s="245"/>
      <c r="BU200" s="245"/>
      <c r="BV200" s="246"/>
      <c r="BW200" s="245"/>
      <c r="BX200" s="245"/>
      <c r="BY200" s="245"/>
      <c r="BZ200" s="245"/>
      <c r="CA200" s="245"/>
      <c r="CB200" s="245"/>
      <c r="CC200" s="245"/>
      <c r="CD200" s="245"/>
      <c r="CE200" s="245"/>
      <c r="CF200" s="245"/>
      <c r="CG200" s="245"/>
    </row>
    <row r="201" spans="2:85" x14ac:dyDescent="0.2">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45"/>
      <c r="BU201" s="245"/>
      <c r="BV201" s="245"/>
      <c r="BW201" s="245"/>
      <c r="BX201" s="245"/>
      <c r="BY201" s="245"/>
      <c r="BZ201" s="245"/>
      <c r="CA201" s="245"/>
      <c r="CB201" s="245"/>
      <c r="CC201" s="245"/>
      <c r="CD201" s="245"/>
      <c r="CE201" s="245"/>
      <c r="CF201" s="245"/>
      <c r="CG201" s="245"/>
    </row>
    <row r="202" spans="2:85" x14ac:dyDescent="0.2">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c r="BV202" s="245"/>
      <c r="BW202" s="245"/>
      <c r="BX202" s="245"/>
      <c r="BY202" s="245"/>
      <c r="BZ202" s="245"/>
      <c r="CA202" s="245"/>
      <c r="CB202" s="245"/>
      <c r="CC202" s="245"/>
      <c r="CD202" s="245"/>
      <c r="CE202" s="245"/>
      <c r="CF202" s="245"/>
      <c r="CG202" s="245"/>
    </row>
    <row r="203" spans="2:85" x14ac:dyDescent="0.2">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c r="BV203" s="245"/>
      <c r="BW203" s="245"/>
      <c r="BX203" s="245"/>
      <c r="BY203" s="245"/>
      <c r="BZ203" s="245"/>
      <c r="CA203" s="245"/>
      <c r="CB203" s="245"/>
      <c r="CC203" s="245"/>
      <c r="CD203" s="245"/>
      <c r="CE203" s="245"/>
      <c r="CF203" s="245"/>
      <c r="CG203" s="245"/>
    </row>
    <row r="204" spans="2:85" x14ac:dyDescent="0.2">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c r="BJ204" s="245"/>
      <c r="BK204" s="245"/>
      <c r="BL204" s="245"/>
      <c r="BM204" s="245"/>
      <c r="BN204" s="245"/>
      <c r="BO204" s="245"/>
      <c r="BP204" s="245"/>
      <c r="BQ204" s="245"/>
      <c r="BR204" s="245"/>
      <c r="BS204" s="245"/>
      <c r="BT204" s="245"/>
      <c r="BU204" s="245"/>
      <c r="BV204" s="245"/>
      <c r="BW204" s="245"/>
      <c r="BX204" s="245"/>
      <c r="BY204" s="245"/>
      <c r="BZ204" s="245"/>
      <c r="CA204" s="245"/>
      <c r="CB204" s="245"/>
      <c r="CC204" s="245"/>
      <c r="CD204" s="245"/>
      <c r="CE204" s="245"/>
      <c r="CF204" s="245"/>
      <c r="CG204" s="245"/>
    </row>
    <row r="205" spans="2:85" x14ac:dyDescent="0.2">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45"/>
      <c r="AW205" s="245"/>
      <c r="AX205" s="245"/>
      <c r="AY205" s="245"/>
      <c r="AZ205" s="245"/>
      <c r="BA205" s="245"/>
      <c r="BB205" s="245"/>
      <c r="BC205" s="245"/>
      <c r="BD205" s="245"/>
      <c r="BE205" s="245"/>
      <c r="BF205" s="245"/>
      <c r="BG205" s="245"/>
      <c r="BH205" s="245"/>
      <c r="BI205" s="245"/>
      <c r="BJ205" s="245"/>
      <c r="BK205" s="245"/>
      <c r="BL205" s="245"/>
      <c r="BM205" s="245"/>
      <c r="BN205" s="245"/>
      <c r="BO205" s="245"/>
      <c r="BP205" s="245"/>
      <c r="BQ205" s="245"/>
      <c r="BR205" s="245"/>
      <c r="BS205" s="245"/>
      <c r="BT205" s="245"/>
      <c r="BU205" s="245"/>
      <c r="BV205" s="245"/>
      <c r="BW205" s="245"/>
      <c r="BX205" s="245"/>
      <c r="BY205" s="245"/>
      <c r="BZ205" s="245"/>
      <c r="CA205" s="245"/>
      <c r="CB205" s="245"/>
      <c r="CC205" s="245"/>
      <c r="CD205" s="245"/>
      <c r="CE205" s="245"/>
      <c r="CF205" s="245"/>
      <c r="CG205" s="245"/>
    </row>
    <row r="206" spans="2:85" x14ac:dyDescent="0.2">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45"/>
      <c r="AW206" s="245"/>
      <c r="AX206" s="245"/>
      <c r="AY206" s="245"/>
      <c r="AZ206" s="245"/>
      <c r="BA206" s="245"/>
      <c r="BB206" s="245"/>
      <c r="BC206" s="245"/>
      <c r="BD206" s="245"/>
      <c r="BE206" s="245"/>
      <c r="BF206" s="245"/>
      <c r="BG206" s="245"/>
      <c r="BH206" s="245"/>
      <c r="BI206" s="245"/>
      <c r="BJ206" s="245"/>
      <c r="BK206" s="245"/>
      <c r="BL206" s="245"/>
      <c r="BM206" s="245"/>
      <c r="BN206" s="245"/>
      <c r="BO206" s="245"/>
      <c r="BP206" s="245"/>
      <c r="BQ206" s="245"/>
      <c r="BR206" s="245"/>
      <c r="BS206" s="245"/>
      <c r="BT206" s="245"/>
      <c r="BU206" s="245"/>
      <c r="BV206" s="245"/>
      <c r="BW206" s="245"/>
      <c r="BX206" s="245"/>
      <c r="BY206" s="245"/>
      <c r="BZ206" s="245"/>
      <c r="CA206" s="245"/>
      <c r="CB206" s="245"/>
      <c r="CC206" s="245"/>
      <c r="CD206" s="245"/>
      <c r="CE206" s="245"/>
      <c r="CF206" s="245"/>
      <c r="CG206" s="245"/>
    </row>
    <row r="207" spans="2:85" x14ac:dyDescent="0.2">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45"/>
      <c r="BU207" s="245"/>
      <c r="BV207" s="245"/>
      <c r="BW207" s="245"/>
      <c r="BX207" s="245"/>
      <c r="BY207" s="245"/>
      <c r="BZ207" s="245"/>
      <c r="CA207" s="245"/>
      <c r="CB207" s="245"/>
      <c r="CC207" s="245"/>
      <c r="CD207" s="245"/>
      <c r="CE207" s="245"/>
      <c r="CF207" s="245"/>
      <c r="CG207" s="245"/>
    </row>
    <row r="208" spans="2:85" x14ac:dyDescent="0.2">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c r="AV208" s="245"/>
      <c r="AW208" s="245"/>
      <c r="AX208" s="245"/>
      <c r="AY208" s="245"/>
      <c r="AZ208" s="245"/>
      <c r="BA208" s="245"/>
      <c r="BB208" s="245"/>
      <c r="BC208" s="245"/>
      <c r="BD208" s="245"/>
      <c r="BE208" s="245"/>
      <c r="BF208" s="245"/>
      <c r="BG208" s="245"/>
      <c r="BH208" s="245"/>
      <c r="BI208" s="245"/>
      <c r="BJ208" s="245"/>
      <c r="BK208" s="245"/>
      <c r="BL208" s="245"/>
      <c r="BM208" s="245"/>
      <c r="BN208" s="245"/>
      <c r="BO208" s="245"/>
      <c r="BP208" s="245"/>
      <c r="BQ208" s="245"/>
      <c r="BR208" s="245"/>
      <c r="BS208" s="245"/>
      <c r="BT208" s="245"/>
      <c r="BU208" s="245"/>
      <c r="BV208" s="245"/>
      <c r="BW208" s="245"/>
      <c r="BX208" s="245"/>
      <c r="BY208" s="245"/>
      <c r="BZ208" s="245"/>
      <c r="CA208" s="245"/>
      <c r="CB208" s="245"/>
      <c r="CC208" s="245"/>
      <c r="CD208" s="245"/>
      <c r="CE208" s="245"/>
      <c r="CF208" s="245"/>
      <c r="CG208" s="245"/>
    </row>
    <row r="209" spans="2:85" x14ac:dyDescent="0.2">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45"/>
      <c r="AW209" s="245"/>
      <c r="AX209" s="245"/>
      <c r="AY209" s="245"/>
      <c r="AZ209" s="245"/>
      <c r="BA209" s="245"/>
      <c r="BB209" s="245"/>
      <c r="BC209" s="245"/>
      <c r="BD209" s="245"/>
      <c r="BE209" s="245"/>
      <c r="BF209" s="245"/>
      <c r="BG209" s="245"/>
      <c r="BH209" s="245"/>
      <c r="BI209" s="245"/>
      <c r="BJ209" s="245"/>
      <c r="BK209" s="245"/>
      <c r="BL209" s="245"/>
      <c r="BM209" s="245"/>
      <c r="BN209" s="245"/>
      <c r="BO209" s="245"/>
      <c r="BP209" s="245"/>
      <c r="BQ209" s="245"/>
      <c r="BR209" s="245"/>
      <c r="BS209" s="245"/>
      <c r="BT209" s="245"/>
      <c r="BU209" s="245"/>
      <c r="BV209" s="245"/>
      <c r="BW209" s="245"/>
      <c r="BX209" s="245"/>
      <c r="BY209" s="245"/>
      <c r="BZ209" s="245"/>
      <c r="CA209" s="245"/>
      <c r="CB209" s="245"/>
      <c r="CC209" s="245"/>
      <c r="CD209" s="245"/>
      <c r="CE209" s="245"/>
      <c r="CF209" s="245"/>
      <c r="CG209" s="245"/>
    </row>
    <row r="210" spans="2:85" x14ac:dyDescent="0.2">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row>
    <row r="211" spans="2:85" x14ac:dyDescent="0.2">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45"/>
      <c r="AW211" s="245"/>
      <c r="AX211" s="245"/>
      <c r="AY211" s="245"/>
      <c r="AZ211" s="245"/>
      <c r="BA211" s="245"/>
      <c r="BB211" s="245"/>
      <c r="BC211" s="245"/>
      <c r="BD211" s="245"/>
      <c r="BE211" s="245"/>
      <c r="BF211" s="245"/>
      <c r="BG211" s="245"/>
      <c r="BH211" s="245"/>
      <c r="BI211" s="245"/>
      <c r="BJ211" s="245"/>
      <c r="BK211" s="245"/>
      <c r="BL211" s="245"/>
      <c r="BM211" s="245"/>
      <c r="BN211" s="245"/>
      <c r="BO211" s="245"/>
      <c r="BP211" s="245"/>
      <c r="BQ211" s="245"/>
      <c r="BR211" s="245"/>
      <c r="BS211" s="245"/>
      <c r="BT211" s="245"/>
      <c r="BU211" s="245"/>
      <c r="BV211" s="245"/>
      <c r="BW211" s="245"/>
      <c r="BX211" s="245"/>
      <c r="BY211" s="245"/>
      <c r="BZ211" s="245"/>
      <c r="CA211" s="245"/>
      <c r="CB211" s="245"/>
      <c r="CC211" s="245"/>
      <c r="CD211" s="245"/>
      <c r="CE211" s="245"/>
      <c r="CF211" s="245"/>
      <c r="CG211" s="245"/>
    </row>
    <row r="212" spans="2:85" x14ac:dyDescent="0.2">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45"/>
      <c r="AW212" s="245"/>
      <c r="AX212" s="245"/>
      <c r="AY212" s="245"/>
      <c r="AZ212" s="245"/>
      <c r="BA212" s="245"/>
      <c r="BB212" s="245"/>
      <c r="BC212" s="245"/>
      <c r="BD212" s="245"/>
      <c r="BE212" s="245"/>
      <c r="BF212" s="245"/>
      <c r="BG212" s="245"/>
      <c r="BH212" s="245"/>
      <c r="BI212" s="245"/>
      <c r="BJ212" s="245"/>
      <c r="BK212" s="245"/>
      <c r="BL212" s="245"/>
      <c r="BM212" s="245"/>
      <c r="BN212" s="245"/>
      <c r="BO212" s="245"/>
      <c r="BP212" s="245"/>
      <c r="BQ212" s="245"/>
      <c r="BR212" s="245"/>
      <c r="BS212" s="245"/>
      <c r="BT212" s="245"/>
      <c r="BU212" s="245"/>
      <c r="BV212" s="245"/>
      <c r="BW212" s="245"/>
      <c r="BX212" s="245"/>
      <c r="BY212" s="245"/>
      <c r="BZ212" s="245"/>
      <c r="CA212" s="245"/>
      <c r="CB212" s="245"/>
      <c r="CC212" s="245"/>
      <c r="CD212" s="245"/>
      <c r="CE212" s="245"/>
      <c r="CF212" s="245"/>
      <c r="CG212" s="245"/>
    </row>
    <row r="213" spans="2:85" x14ac:dyDescent="0.2">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45"/>
      <c r="AW213" s="245"/>
      <c r="AX213" s="245"/>
      <c r="AY213" s="245"/>
      <c r="AZ213" s="245"/>
      <c r="BA213" s="245"/>
      <c r="BB213" s="245"/>
      <c r="BC213" s="245"/>
      <c r="BD213" s="245"/>
      <c r="BE213" s="245"/>
      <c r="BF213" s="245"/>
      <c r="BG213" s="245"/>
      <c r="BH213" s="245"/>
      <c r="BI213" s="245"/>
      <c r="BJ213" s="245"/>
      <c r="BK213" s="245"/>
      <c r="BL213" s="245"/>
      <c r="BM213" s="245"/>
      <c r="BN213" s="245"/>
      <c r="BO213" s="245"/>
      <c r="BP213" s="245"/>
      <c r="BQ213" s="245"/>
      <c r="BR213" s="245"/>
      <c r="BS213" s="245"/>
      <c r="BT213" s="245"/>
      <c r="BU213" s="245"/>
      <c r="BV213" s="245"/>
      <c r="BW213" s="245"/>
      <c r="BX213" s="245"/>
      <c r="BY213" s="245"/>
      <c r="BZ213" s="245"/>
      <c r="CA213" s="245"/>
      <c r="CB213" s="245"/>
      <c r="CC213" s="245"/>
      <c r="CD213" s="245"/>
      <c r="CE213" s="245"/>
      <c r="CF213" s="245"/>
      <c r="CG213" s="245"/>
    </row>
    <row r="214" spans="2:85" x14ac:dyDescent="0.2">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c r="BV214" s="245"/>
      <c r="BW214" s="245"/>
      <c r="BX214" s="245"/>
      <c r="BY214" s="245"/>
      <c r="BZ214" s="245"/>
      <c r="CA214" s="245"/>
      <c r="CB214" s="245"/>
      <c r="CC214" s="245"/>
      <c r="CD214" s="245"/>
      <c r="CE214" s="245"/>
      <c r="CF214" s="245"/>
      <c r="CG214" s="245"/>
    </row>
    <row r="215" spans="2:85" x14ac:dyDescent="0.2">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c r="BV215" s="245"/>
      <c r="BW215" s="245"/>
      <c r="BX215" s="245"/>
      <c r="BY215" s="245"/>
      <c r="BZ215" s="245"/>
      <c r="CA215" s="245"/>
      <c r="CB215" s="245"/>
      <c r="CC215" s="245"/>
      <c r="CD215" s="245"/>
      <c r="CE215" s="245"/>
      <c r="CF215" s="245"/>
      <c r="CG215" s="245"/>
    </row>
    <row r="216" spans="2:85" x14ac:dyDescent="0.2">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c r="BV216" s="245"/>
      <c r="BW216" s="245"/>
      <c r="BX216" s="245"/>
      <c r="BY216" s="245"/>
      <c r="BZ216" s="245"/>
      <c r="CA216" s="245"/>
      <c r="CB216" s="245"/>
      <c r="CC216" s="245"/>
      <c r="CD216" s="245"/>
      <c r="CE216" s="245"/>
      <c r="CF216" s="245"/>
      <c r="CG216" s="245"/>
    </row>
    <row r="217" spans="2:85" x14ac:dyDescent="0.2">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45"/>
      <c r="BU217" s="245"/>
      <c r="BV217" s="245"/>
      <c r="BW217" s="245"/>
      <c r="BX217" s="245"/>
      <c r="BY217" s="245"/>
      <c r="BZ217" s="245"/>
      <c r="CA217" s="245"/>
      <c r="CB217" s="245"/>
      <c r="CC217" s="245"/>
      <c r="CD217" s="245"/>
      <c r="CE217" s="245"/>
      <c r="CF217" s="245"/>
      <c r="CG217" s="245"/>
    </row>
    <row r="218" spans="2:85" x14ac:dyDescent="0.2">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c r="AV218" s="245"/>
      <c r="AW218" s="245"/>
      <c r="AX218" s="245"/>
      <c r="AY218" s="245"/>
      <c r="AZ218" s="245"/>
      <c r="BA218" s="245"/>
      <c r="BB218" s="245"/>
      <c r="BC218" s="245"/>
      <c r="BD218" s="245"/>
      <c r="BE218" s="245"/>
      <c r="BF218" s="245"/>
      <c r="BG218" s="245"/>
      <c r="BH218" s="245"/>
      <c r="BI218" s="245"/>
      <c r="BJ218" s="245"/>
      <c r="BK218" s="245"/>
      <c r="BL218" s="245"/>
      <c r="BM218" s="245"/>
      <c r="BN218" s="245"/>
      <c r="BO218" s="245"/>
      <c r="BP218" s="245"/>
      <c r="BQ218" s="245"/>
      <c r="BR218" s="245"/>
      <c r="BS218" s="245"/>
      <c r="BT218" s="245"/>
      <c r="BU218" s="245"/>
      <c r="BV218" s="245"/>
      <c r="BW218" s="245"/>
      <c r="BX218" s="245"/>
      <c r="BY218" s="245"/>
      <c r="BZ218" s="245"/>
      <c r="CA218" s="245"/>
      <c r="CB218" s="245"/>
      <c r="CC218" s="245"/>
      <c r="CD218" s="245"/>
      <c r="CE218" s="245"/>
      <c r="CF218" s="245"/>
      <c r="CG218" s="245"/>
    </row>
    <row r="219" spans="2:85" x14ac:dyDescent="0.2">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5"/>
      <c r="BC219" s="245"/>
      <c r="BD219" s="245"/>
      <c r="BE219" s="245"/>
      <c r="BF219" s="245"/>
      <c r="BG219" s="245"/>
      <c r="BH219" s="245"/>
      <c r="BI219" s="245"/>
      <c r="BJ219" s="245"/>
      <c r="BK219" s="245"/>
      <c r="BL219" s="245"/>
      <c r="BM219" s="245"/>
      <c r="BN219" s="245"/>
      <c r="BO219" s="245"/>
      <c r="BP219" s="245"/>
      <c r="BQ219" s="245"/>
      <c r="BR219" s="245"/>
      <c r="BS219" s="245"/>
      <c r="BT219" s="245"/>
      <c r="BU219" s="245"/>
      <c r="BV219" s="245"/>
      <c r="BW219" s="245"/>
      <c r="BX219" s="245"/>
      <c r="BY219" s="245"/>
      <c r="BZ219" s="245"/>
      <c r="CA219" s="245"/>
      <c r="CB219" s="245"/>
      <c r="CC219" s="245"/>
      <c r="CD219" s="245"/>
      <c r="CE219" s="245"/>
      <c r="CF219" s="245"/>
      <c r="CG219" s="245"/>
    </row>
    <row r="220" spans="2:85" x14ac:dyDescent="0.2">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c r="AV220" s="245"/>
      <c r="AW220" s="245"/>
      <c r="AX220" s="245"/>
      <c r="AY220" s="245"/>
      <c r="AZ220" s="245"/>
      <c r="BA220" s="245"/>
      <c r="BB220" s="245"/>
      <c r="BC220" s="245"/>
      <c r="BD220" s="245"/>
      <c r="BE220" s="245"/>
      <c r="BF220" s="245"/>
      <c r="BG220" s="245"/>
      <c r="BH220" s="245"/>
      <c r="BI220" s="245"/>
      <c r="BJ220" s="245"/>
      <c r="BK220" s="245"/>
      <c r="BL220" s="245"/>
      <c r="BM220" s="245"/>
      <c r="BN220" s="245"/>
      <c r="BO220" s="245"/>
      <c r="BP220" s="245"/>
      <c r="BQ220" s="245"/>
      <c r="BR220" s="245"/>
      <c r="BS220" s="245"/>
      <c r="BT220" s="245"/>
      <c r="BU220" s="245"/>
      <c r="BV220" s="245"/>
      <c r="BW220" s="245"/>
      <c r="BX220" s="245"/>
      <c r="BY220" s="245"/>
      <c r="BZ220" s="245"/>
      <c r="CA220" s="245"/>
      <c r="CB220" s="245"/>
      <c r="CC220" s="245"/>
      <c r="CD220" s="245"/>
      <c r="CE220" s="245"/>
      <c r="CF220" s="245"/>
      <c r="CG220" s="245"/>
    </row>
    <row r="221" spans="2:85" x14ac:dyDescent="0.2">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c r="AV221" s="245"/>
      <c r="AW221" s="245"/>
      <c r="AX221" s="245"/>
      <c r="AY221" s="245"/>
      <c r="AZ221" s="245"/>
      <c r="BA221" s="245"/>
      <c r="BB221" s="245"/>
      <c r="BC221" s="245"/>
      <c r="BD221" s="245"/>
      <c r="BE221" s="245"/>
      <c r="BF221" s="245"/>
      <c r="BG221" s="245"/>
      <c r="BH221" s="245"/>
      <c r="BI221" s="245"/>
      <c r="BJ221" s="245"/>
      <c r="BK221" s="245"/>
      <c r="BL221" s="245"/>
      <c r="BM221" s="245"/>
      <c r="BN221" s="245"/>
      <c r="BO221" s="245"/>
      <c r="BP221" s="245"/>
      <c r="BQ221" s="245"/>
      <c r="BR221" s="245"/>
      <c r="BS221" s="245"/>
      <c r="BT221" s="245"/>
      <c r="BU221" s="245"/>
      <c r="BV221" s="245"/>
      <c r="BW221" s="245"/>
      <c r="BX221" s="245"/>
      <c r="BY221" s="245"/>
      <c r="BZ221" s="245"/>
      <c r="CA221" s="245"/>
      <c r="CB221" s="245"/>
      <c r="CC221" s="245"/>
      <c r="CD221" s="245"/>
      <c r="CE221" s="245"/>
      <c r="CF221" s="245"/>
      <c r="CG221" s="245"/>
    </row>
    <row r="222" spans="2:85" x14ac:dyDescent="0.2">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c r="AV222" s="245"/>
      <c r="AW222" s="245"/>
      <c r="AX222" s="245"/>
      <c r="AY222" s="245"/>
      <c r="AZ222" s="245"/>
      <c r="BA222" s="245"/>
      <c r="BB222" s="245"/>
      <c r="BC222" s="245"/>
      <c r="BD222" s="245"/>
      <c r="BE222" s="245"/>
      <c r="BF222" s="245"/>
      <c r="BG222" s="245"/>
      <c r="BH222" s="245"/>
      <c r="BI222" s="245"/>
      <c r="BJ222" s="245"/>
      <c r="BK222" s="245"/>
      <c r="BL222" s="245"/>
      <c r="BM222" s="245"/>
      <c r="BN222" s="245"/>
      <c r="BO222" s="245"/>
      <c r="BP222" s="245"/>
      <c r="BQ222" s="245"/>
      <c r="BR222" s="245"/>
      <c r="BS222" s="245"/>
      <c r="BT222" s="245"/>
      <c r="BU222" s="245"/>
      <c r="BV222" s="245"/>
      <c r="BW222" s="245"/>
      <c r="BX222" s="245"/>
      <c r="BY222" s="245"/>
      <c r="BZ222" s="245"/>
      <c r="CA222" s="245"/>
      <c r="CB222" s="245"/>
      <c r="CC222" s="245"/>
      <c r="CD222" s="245"/>
      <c r="CE222" s="245"/>
      <c r="CF222" s="245"/>
      <c r="CG222" s="245"/>
    </row>
    <row r="223" spans="2:85" x14ac:dyDescent="0.2">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45"/>
      <c r="AW223" s="245"/>
      <c r="AX223" s="245"/>
      <c r="AY223" s="245"/>
      <c r="AZ223" s="245"/>
      <c r="BA223" s="245"/>
      <c r="BB223" s="245"/>
      <c r="BC223" s="245"/>
      <c r="BD223" s="245"/>
      <c r="BE223" s="245"/>
      <c r="BF223" s="245"/>
      <c r="BG223" s="245"/>
      <c r="BH223" s="245"/>
      <c r="BI223" s="245"/>
      <c r="BJ223" s="245"/>
      <c r="BK223" s="245"/>
      <c r="BL223" s="245"/>
      <c r="BM223" s="245"/>
      <c r="BN223" s="245"/>
      <c r="BO223" s="245"/>
      <c r="BP223" s="245"/>
      <c r="BQ223" s="245"/>
      <c r="BR223" s="245"/>
      <c r="BS223" s="245"/>
      <c r="BT223" s="245"/>
      <c r="BU223" s="245"/>
      <c r="BV223" s="245"/>
      <c r="BW223" s="245"/>
      <c r="BX223" s="245"/>
      <c r="BY223" s="245"/>
      <c r="BZ223" s="245"/>
      <c r="CA223" s="245"/>
      <c r="CB223" s="245"/>
      <c r="CC223" s="245"/>
      <c r="CD223" s="245"/>
      <c r="CE223" s="245"/>
      <c r="CF223" s="245"/>
      <c r="CG223" s="245"/>
    </row>
    <row r="224" spans="2:85" x14ac:dyDescent="0.2">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c r="BJ224" s="245"/>
      <c r="BK224" s="245"/>
      <c r="BL224" s="245"/>
      <c r="BM224" s="245"/>
      <c r="BN224" s="245"/>
      <c r="BO224" s="245"/>
      <c r="BP224" s="245"/>
      <c r="BQ224" s="245"/>
      <c r="BR224" s="245"/>
      <c r="BS224" s="245"/>
      <c r="BT224" s="245"/>
      <c r="BU224" s="245"/>
      <c r="BV224" s="245"/>
      <c r="BW224" s="245"/>
      <c r="BX224" s="245"/>
      <c r="BY224" s="245"/>
      <c r="BZ224" s="245"/>
      <c r="CA224" s="245"/>
      <c r="CB224" s="245"/>
      <c r="CC224" s="245"/>
      <c r="CD224" s="245"/>
      <c r="CE224" s="245"/>
      <c r="CF224" s="245"/>
      <c r="CG224" s="245"/>
    </row>
  </sheetData>
  <sheetProtection selectLockedCells="1" selectUnlockedCells="1"/>
  <mergeCells count="88">
    <mergeCell ref="BY6:CA6"/>
    <mergeCell ref="BP3:BR3"/>
    <mergeCell ref="BP4:BR4"/>
    <mergeCell ref="BP6:BR6"/>
    <mergeCell ref="BV3:BX3"/>
    <mergeCell ref="BV4:BX4"/>
    <mergeCell ref="BV6:BX6"/>
    <mergeCell ref="BY3:CA3"/>
    <mergeCell ref="BY4:CA4"/>
    <mergeCell ref="BA6:BC6"/>
    <mergeCell ref="BA3:BC3"/>
    <mergeCell ref="BD6:BF6"/>
    <mergeCell ref="BS3:BU3"/>
    <mergeCell ref="BS4:BU4"/>
    <mergeCell ref="BS6:BU6"/>
    <mergeCell ref="BJ4:BL4"/>
    <mergeCell ref="BJ3:BL3"/>
    <mergeCell ref="BJ6:BL6"/>
    <mergeCell ref="BM4:BO4"/>
    <mergeCell ref="BM3:BO3"/>
    <mergeCell ref="BM6:BO6"/>
    <mergeCell ref="BG6:BH6"/>
    <mergeCell ref="BD4:BF4"/>
    <mergeCell ref="BA4:BC4"/>
    <mergeCell ref="BG3:BI3"/>
    <mergeCell ref="B3:D3"/>
    <mergeCell ref="B6:D6"/>
    <mergeCell ref="E3:G3"/>
    <mergeCell ref="H3:J3"/>
    <mergeCell ref="E4:G4"/>
    <mergeCell ref="A126:A127"/>
    <mergeCell ref="A128:A129"/>
    <mergeCell ref="H4:J4"/>
    <mergeCell ref="H6:J6"/>
    <mergeCell ref="B4:D4"/>
    <mergeCell ref="E6:G6"/>
    <mergeCell ref="AC3:AE3"/>
    <mergeCell ref="AC4:AE4"/>
    <mergeCell ref="AU4:AW4"/>
    <mergeCell ref="AI3:AJ3"/>
    <mergeCell ref="AR4:AT4"/>
    <mergeCell ref="AI4:AK4"/>
    <mergeCell ref="AL4:AN4"/>
    <mergeCell ref="AL3:AN3"/>
    <mergeCell ref="AO3:AQ3"/>
    <mergeCell ref="AO4:AQ4"/>
    <mergeCell ref="AF4:AH4"/>
    <mergeCell ref="AF3:AH3"/>
    <mergeCell ref="BG4:BI4"/>
    <mergeCell ref="AR3:AT3"/>
    <mergeCell ref="BD3:BF3"/>
    <mergeCell ref="K6:M6"/>
    <mergeCell ref="T6:V6"/>
    <mergeCell ref="T3:V3"/>
    <mergeCell ref="W3:Y3"/>
    <mergeCell ref="AC6:AE6"/>
    <mergeCell ref="K3:M3"/>
    <mergeCell ref="N3:P3"/>
    <mergeCell ref="N4:P4"/>
    <mergeCell ref="N6:P6"/>
    <mergeCell ref="K4:M4"/>
    <mergeCell ref="W6:Y6"/>
    <mergeCell ref="AI6:AK6"/>
    <mergeCell ref="AF6:AH6"/>
    <mergeCell ref="AX6:AZ6"/>
    <mergeCell ref="Q3:S3"/>
    <mergeCell ref="Q4:S4"/>
    <mergeCell ref="Q6:S6"/>
    <mergeCell ref="Z3:AB3"/>
    <mergeCell ref="Z4:AB4"/>
    <mergeCell ref="Z6:AB6"/>
    <mergeCell ref="W4:Y4"/>
    <mergeCell ref="T4:V4"/>
    <mergeCell ref="AR6:AT6"/>
    <mergeCell ref="AU6:AW6"/>
    <mergeCell ref="AL6:AN6"/>
    <mergeCell ref="AO6:AQ6"/>
    <mergeCell ref="AX4:AZ4"/>
    <mergeCell ref="AX3:AZ3"/>
    <mergeCell ref="AU3:AW3"/>
    <mergeCell ref="CH3:CJ4"/>
    <mergeCell ref="CB6:CD6"/>
    <mergeCell ref="CE3:CG3"/>
    <mergeCell ref="CE4:CG4"/>
    <mergeCell ref="CE6:CG6"/>
    <mergeCell ref="CB3:CD3"/>
    <mergeCell ref="CB4:CD4"/>
    <mergeCell ref="CH6:CJ6"/>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83B44-B19F-4017-BD28-D74276C2DC64}">
  <sheetPr codeName="Hoja14">
    <tabColor theme="3" tint="-0.249977111117893"/>
  </sheetPr>
  <dimension ref="A1:AH225"/>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D6"/>
    </sheetView>
  </sheetViews>
  <sheetFormatPr baseColWidth="10" defaultColWidth="15" defaultRowHeight="12" x14ac:dyDescent="0.2"/>
  <cols>
    <col min="1" max="1" width="53.42578125" style="214" customWidth="1"/>
    <col min="2" max="2" width="19.28515625" style="214" customWidth="1"/>
    <col min="3" max="3" width="19.140625" style="214" bestFit="1" customWidth="1"/>
    <col min="4" max="4" width="18.85546875" style="214" bestFit="1" customWidth="1"/>
    <col min="5" max="5" width="15.140625" style="214" bestFit="1" customWidth="1"/>
    <col min="6" max="6" width="15.42578125" style="214" bestFit="1" customWidth="1"/>
    <col min="7" max="7" width="22.28515625" style="214" customWidth="1"/>
    <col min="8" max="9" width="17.42578125" style="214" bestFit="1" customWidth="1"/>
    <col min="10" max="10" width="19.85546875" style="214" customWidth="1"/>
    <col min="11" max="12" width="15.42578125" style="214" bestFit="1" customWidth="1"/>
    <col min="13" max="13" width="19.7109375" style="214" customWidth="1"/>
    <col min="14" max="15" width="17.42578125" style="214" bestFit="1" customWidth="1"/>
    <col min="16" max="16" width="21" style="214" customWidth="1"/>
    <col min="17" max="17" width="19.42578125" style="214" bestFit="1" customWidth="1"/>
    <col min="18" max="18" width="19.140625" style="214" bestFit="1" customWidth="1"/>
    <col min="19" max="19" width="18.5703125" style="214" bestFit="1" customWidth="1"/>
    <col min="20" max="21" width="15.42578125" style="214" bestFit="1" customWidth="1"/>
    <col min="22" max="22" width="20.7109375" style="214" customWidth="1"/>
    <col min="23" max="24" width="12.7109375" style="214" bestFit="1" customWidth="1"/>
    <col min="25" max="25" width="21.7109375" style="214" customWidth="1"/>
    <col min="26" max="26" width="18.5703125" style="214" bestFit="1" customWidth="1"/>
    <col min="27" max="27" width="18.28515625" style="214" bestFit="1" customWidth="1"/>
    <col min="28" max="28" width="20.85546875" style="214" customWidth="1"/>
    <col min="29" max="29" width="19.42578125" style="214" bestFit="1" customWidth="1"/>
    <col min="30" max="30" width="19.140625" style="214" bestFit="1" customWidth="1"/>
    <col min="31" max="31" width="18.5703125" style="214" bestFit="1" customWidth="1"/>
    <col min="32" max="34" width="19.85546875" style="214" bestFit="1" customWidth="1"/>
    <col min="35" max="16384" width="15" style="214"/>
  </cols>
  <sheetData>
    <row r="1" spans="1:34" ht="18" x14ac:dyDescent="0.2">
      <c r="B1" s="305" t="s">
        <v>466</v>
      </c>
    </row>
    <row r="2" spans="1:34" x14ac:dyDescent="0.2">
      <c r="A2" s="239"/>
    </row>
    <row r="3" spans="1:34" ht="11.45" customHeight="1" x14ac:dyDescent="0.2">
      <c r="A3" s="239"/>
      <c r="B3" s="338" t="s">
        <v>191</v>
      </c>
      <c r="C3" s="339"/>
      <c r="D3" s="340"/>
      <c r="E3" s="338" t="s">
        <v>191</v>
      </c>
      <c r="F3" s="339"/>
      <c r="G3" s="340"/>
      <c r="H3" s="338" t="s">
        <v>191</v>
      </c>
      <c r="I3" s="339"/>
      <c r="J3" s="340"/>
      <c r="K3" s="338" t="s">
        <v>191</v>
      </c>
      <c r="L3" s="339"/>
      <c r="M3" s="340"/>
      <c r="N3" s="338" t="s">
        <v>191</v>
      </c>
      <c r="O3" s="339"/>
      <c r="P3" s="340"/>
      <c r="Q3" s="338" t="s">
        <v>191</v>
      </c>
      <c r="R3" s="339"/>
      <c r="S3" s="340"/>
      <c r="T3" s="338" t="s">
        <v>191</v>
      </c>
      <c r="U3" s="339"/>
      <c r="V3" s="340"/>
      <c r="W3" s="338" t="s">
        <v>191</v>
      </c>
      <c r="X3" s="339"/>
      <c r="Y3" s="340"/>
      <c r="Z3" s="338" t="s">
        <v>191</v>
      </c>
      <c r="AA3" s="339"/>
      <c r="AB3" s="340"/>
      <c r="AC3" s="353" t="s">
        <v>191</v>
      </c>
      <c r="AD3" s="353"/>
      <c r="AE3" s="353"/>
      <c r="AF3" s="355" t="s">
        <v>92</v>
      </c>
      <c r="AG3" s="356"/>
      <c r="AH3" s="357"/>
    </row>
    <row r="4" spans="1:34" s="215" customFormat="1" ht="42.6" customHeight="1" x14ac:dyDescent="0.2">
      <c r="A4" s="239"/>
      <c r="B4" s="344" t="s">
        <v>318</v>
      </c>
      <c r="C4" s="345"/>
      <c r="D4" s="346"/>
      <c r="E4" s="344" t="s">
        <v>319</v>
      </c>
      <c r="F4" s="345"/>
      <c r="G4" s="346"/>
      <c r="H4" s="344" t="s">
        <v>320</v>
      </c>
      <c r="I4" s="345"/>
      <c r="J4" s="346"/>
      <c r="K4" s="344" t="s">
        <v>206</v>
      </c>
      <c r="L4" s="345"/>
      <c r="M4" s="346"/>
      <c r="N4" s="344" t="s">
        <v>321</v>
      </c>
      <c r="O4" s="345"/>
      <c r="P4" s="346"/>
      <c r="Q4" s="344" t="s">
        <v>207</v>
      </c>
      <c r="R4" s="345"/>
      <c r="S4" s="346"/>
      <c r="T4" s="344" t="s">
        <v>461</v>
      </c>
      <c r="U4" s="345"/>
      <c r="V4" s="346"/>
      <c r="W4" s="344" t="s">
        <v>322</v>
      </c>
      <c r="X4" s="345"/>
      <c r="Y4" s="346"/>
      <c r="Z4" s="344" t="s">
        <v>323</v>
      </c>
      <c r="AA4" s="345"/>
      <c r="AB4" s="346"/>
      <c r="AC4" s="354" t="s">
        <v>413</v>
      </c>
      <c r="AD4" s="354"/>
      <c r="AE4" s="354"/>
      <c r="AF4" s="351"/>
      <c r="AG4" s="352"/>
      <c r="AH4" s="358"/>
    </row>
    <row r="5" spans="1:34" s="250" customFormat="1" x14ac:dyDescent="0.2">
      <c r="A5" s="239"/>
      <c r="B5" s="304">
        <v>2022</v>
      </c>
      <c r="C5" s="304">
        <v>2023</v>
      </c>
      <c r="D5" s="304" t="s">
        <v>436</v>
      </c>
      <c r="E5" s="304">
        <v>2022</v>
      </c>
      <c r="F5" s="304">
        <v>2023</v>
      </c>
      <c r="G5" s="304" t="s">
        <v>436</v>
      </c>
      <c r="H5" s="304">
        <v>2022</v>
      </c>
      <c r="I5" s="304">
        <v>2023</v>
      </c>
      <c r="J5" s="304" t="s">
        <v>436</v>
      </c>
      <c r="K5" s="304">
        <v>2022</v>
      </c>
      <c r="L5" s="304">
        <v>2023</v>
      </c>
      <c r="M5" s="304" t="s">
        <v>436</v>
      </c>
      <c r="N5" s="304">
        <v>2022</v>
      </c>
      <c r="O5" s="304">
        <v>2023</v>
      </c>
      <c r="P5" s="304" t="s">
        <v>436</v>
      </c>
      <c r="Q5" s="304">
        <v>2022</v>
      </c>
      <c r="R5" s="304">
        <v>2023</v>
      </c>
      <c r="S5" s="304" t="s">
        <v>436</v>
      </c>
      <c r="T5" s="304">
        <v>2022</v>
      </c>
      <c r="U5" s="304">
        <v>2023</v>
      </c>
      <c r="V5" s="304" t="s">
        <v>436</v>
      </c>
      <c r="W5" s="304">
        <v>2022</v>
      </c>
      <c r="X5" s="304">
        <v>2023</v>
      </c>
      <c r="Y5" s="304" t="s">
        <v>436</v>
      </c>
      <c r="Z5" s="304">
        <v>2022</v>
      </c>
      <c r="AA5" s="304">
        <v>2023</v>
      </c>
      <c r="AB5" s="304" t="s">
        <v>436</v>
      </c>
      <c r="AC5" s="304">
        <v>2022</v>
      </c>
      <c r="AD5" s="304">
        <v>2023</v>
      </c>
      <c r="AE5" s="304" t="s">
        <v>436</v>
      </c>
      <c r="AF5" s="304">
        <v>2022</v>
      </c>
      <c r="AG5" s="304">
        <v>2023</v>
      </c>
      <c r="AH5" s="304" t="s">
        <v>436</v>
      </c>
    </row>
    <row r="6" spans="1:34" s="215" customFormat="1" ht="11.45" customHeight="1" x14ac:dyDescent="0.2">
      <c r="A6" s="239"/>
      <c r="B6" s="344" t="s">
        <v>246</v>
      </c>
      <c r="C6" s="345"/>
      <c r="D6" s="346"/>
      <c r="E6" s="344" t="s">
        <v>246</v>
      </c>
      <c r="F6" s="345"/>
      <c r="G6" s="346"/>
      <c r="H6" s="344" t="s">
        <v>246</v>
      </c>
      <c r="I6" s="345"/>
      <c r="J6" s="346"/>
      <c r="K6" s="344" t="s">
        <v>246</v>
      </c>
      <c r="L6" s="345"/>
      <c r="M6" s="346"/>
      <c r="N6" s="344" t="s">
        <v>246</v>
      </c>
      <c r="O6" s="345"/>
      <c r="P6" s="346"/>
      <c r="Q6" s="344" t="s">
        <v>246</v>
      </c>
      <c r="R6" s="345"/>
      <c r="S6" s="346"/>
      <c r="T6" s="344" t="s">
        <v>246</v>
      </c>
      <c r="U6" s="345"/>
      <c r="V6" s="346"/>
      <c r="W6" s="344" t="s">
        <v>102</v>
      </c>
      <c r="X6" s="345"/>
      <c r="Y6" s="346"/>
      <c r="Z6" s="344" t="s">
        <v>102</v>
      </c>
      <c r="AA6" s="345"/>
      <c r="AB6" s="346"/>
      <c r="AC6" s="354" t="s">
        <v>102</v>
      </c>
      <c r="AD6" s="353"/>
      <c r="AE6" s="310"/>
      <c r="AF6" s="347" t="s">
        <v>246</v>
      </c>
      <c r="AG6" s="348"/>
      <c r="AH6" s="348"/>
    </row>
    <row r="7" spans="1:34" s="216" customFormat="1" ht="15" x14ac:dyDescent="0.2">
      <c r="A7" s="306" t="s">
        <v>39</v>
      </c>
      <c r="B7" s="253"/>
      <c r="C7" s="254"/>
      <c r="D7" s="254"/>
      <c r="E7" s="253"/>
      <c r="F7" s="254"/>
      <c r="G7" s="254"/>
      <c r="H7" s="253"/>
      <c r="I7" s="254"/>
      <c r="J7" s="254"/>
      <c r="K7" s="253"/>
      <c r="L7" s="254"/>
      <c r="M7" s="254"/>
      <c r="N7" s="253"/>
      <c r="O7" s="254"/>
      <c r="P7" s="254"/>
      <c r="Q7" s="253"/>
      <c r="R7" s="254"/>
      <c r="S7" s="254"/>
      <c r="T7" s="253"/>
      <c r="U7" s="254"/>
      <c r="V7" s="254"/>
      <c r="W7" s="253"/>
      <c r="X7" s="254"/>
      <c r="Y7" s="254"/>
      <c r="Z7" s="253"/>
      <c r="AA7" s="254"/>
      <c r="AB7" s="254"/>
      <c r="AC7" s="253"/>
      <c r="AD7" s="254"/>
      <c r="AE7" s="254"/>
      <c r="AF7" s="253"/>
      <c r="AG7" s="254"/>
      <c r="AH7" s="254"/>
    </row>
    <row r="8" spans="1:34" s="216" customFormat="1" x14ac:dyDescent="0.2">
      <c r="B8" s="209"/>
      <c r="C8" s="211"/>
      <c r="D8" s="211"/>
      <c r="E8" s="209"/>
      <c r="F8" s="211"/>
      <c r="G8" s="211"/>
      <c r="H8" s="209"/>
      <c r="I8" s="211"/>
      <c r="J8" s="211"/>
      <c r="K8" s="209"/>
      <c r="L8" s="211"/>
      <c r="M8" s="211"/>
      <c r="N8" s="209"/>
      <c r="O8" s="211"/>
      <c r="P8" s="211"/>
      <c r="Q8" s="209"/>
      <c r="R8" s="211"/>
      <c r="S8" s="211"/>
      <c r="T8" s="209"/>
      <c r="U8" s="211"/>
      <c r="V8" s="211"/>
      <c r="W8" s="209"/>
      <c r="X8" s="211"/>
      <c r="Y8" s="211"/>
      <c r="Z8" s="209"/>
      <c r="AA8" s="211"/>
      <c r="AB8" s="211"/>
      <c r="AC8" s="209"/>
      <c r="AD8" s="211"/>
      <c r="AE8" s="211"/>
      <c r="AF8" s="209"/>
      <c r="AG8" s="211"/>
      <c r="AH8" s="211"/>
    </row>
    <row r="9" spans="1:34" s="216" customFormat="1" x14ac:dyDescent="0.2">
      <c r="A9" s="218" t="s">
        <v>40</v>
      </c>
      <c r="B9" s="209"/>
      <c r="C9" s="211"/>
      <c r="D9" s="211"/>
      <c r="E9" s="209"/>
      <c r="F9" s="211"/>
      <c r="G9" s="211"/>
      <c r="H9" s="209"/>
      <c r="I9" s="211"/>
      <c r="J9" s="211"/>
      <c r="K9" s="209"/>
      <c r="L9" s="211"/>
      <c r="M9" s="211"/>
      <c r="N9" s="209"/>
      <c r="O9" s="211"/>
      <c r="P9" s="211"/>
      <c r="Q9" s="209"/>
      <c r="R9" s="211"/>
      <c r="S9" s="211"/>
      <c r="T9" s="209"/>
      <c r="U9" s="211"/>
      <c r="V9" s="211"/>
      <c r="W9" s="209"/>
      <c r="X9" s="211"/>
      <c r="Y9" s="211"/>
      <c r="Z9" s="209"/>
      <c r="AA9" s="211"/>
      <c r="AB9" s="211"/>
      <c r="AC9" s="209"/>
      <c r="AD9" s="211"/>
      <c r="AE9" s="211"/>
      <c r="AF9" s="209"/>
      <c r="AG9" s="211"/>
      <c r="AH9" s="211"/>
    </row>
    <row r="10" spans="1:34" x14ac:dyDescent="0.2">
      <c r="A10" s="214" t="s">
        <v>41</v>
      </c>
      <c r="B10" s="209">
        <v>87374863000</v>
      </c>
      <c r="C10" s="213">
        <v>66925646000</v>
      </c>
      <c r="D10" s="213">
        <v>96937190000</v>
      </c>
      <c r="E10" s="209">
        <f>108462*1000</f>
        <v>108462000</v>
      </c>
      <c r="F10" s="213">
        <f>51516*1000</f>
        <v>51516000</v>
      </c>
      <c r="G10" s="213">
        <v>81210000</v>
      </c>
      <c r="H10" s="209">
        <v>4077233000</v>
      </c>
      <c r="I10" s="213">
        <v>1890392000</v>
      </c>
      <c r="J10" s="213">
        <v>11270840059</v>
      </c>
      <c r="K10" s="209">
        <v>454106000</v>
      </c>
      <c r="L10" s="213">
        <v>202110000</v>
      </c>
      <c r="M10" s="213">
        <v>88107000</v>
      </c>
      <c r="N10" s="209">
        <v>594570244</v>
      </c>
      <c r="O10" s="213">
        <v>1129955706</v>
      </c>
      <c r="P10" s="213">
        <v>607903192</v>
      </c>
      <c r="Q10" s="209">
        <v>133454531000</v>
      </c>
      <c r="R10" s="213">
        <v>92207085000</v>
      </c>
      <c r="S10" s="213">
        <v>67444479000</v>
      </c>
      <c r="T10" s="209">
        <v>574409858</v>
      </c>
      <c r="U10" s="209">
        <v>416360693</v>
      </c>
      <c r="V10" s="209">
        <v>332345812</v>
      </c>
      <c r="W10" s="209">
        <v>1000000</v>
      </c>
      <c r="X10" s="209">
        <v>1000000</v>
      </c>
      <c r="Y10" s="209">
        <v>1000000</v>
      </c>
      <c r="Z10" s="209">
        <v>72413968000</v>
      </c>
      <c r="AA10" s="209">
        <v>63067155000</v>
      </c>
      <c r="AB10" s="209">
        <v>66505533000</v>
      </c>
      <c r="AC10" s="209">
        <v>6335633444</v>
      </c>
      <c r="AD10" s="213">
        <v>3201884122</v>
      </c>
      <c r="AE10" s="213">
        <v>78290422906</v>
      </c>
      <c r="AF10" s="209">
        <f>+B10+E10+H10+K10+N10+Q10+T10+W10+Z10+AC10</f>
        <v>305388776546</v>
      </c>
      <c r="AG10" s="209">
        <f t="shared" ref="AG10:AH11" si="0">+C10+F10+I10+L10+O10+R10+U10+X10+AA10+AD10</f>
        <v>229093104521</v>
      </c>
      <c r="AH10" s="209">
        <f t="shared" si="0"/>
        <v>321559030969</v>
      </c>
    </row>
    <row r="11" spans="1:34" x14ac:dyDescent="0.2">
      <c r="A11" s="214" t="s">
        <v>42</v>
      </c>
      <c r="B11" s="213">
        <v>38218188000</v>
      </c>
      <c r="C11" s="213">
        <v>37493614000</v>
      </c>
      <c r="D11" s="213">
        <v>34887023000</v>
      </c>
      <c r="E11" s="213"/>
      <c r="F11" s="213"/>
      <c r="G11" s="213"/>
      <c r="H11" s="213">
        <v>375706000</v>
      </c>
      <c r="I11" s="213">
        <v>447640000</v>
      </c>
      <c r="J11" s="213"/>
      <c r="K11" s="213"/>
      <c r="L11" s="213"/>
      <c r="M11" s="213"/>
      <c r="N11" s="213"/>
      <c r="O11" s="213"/>
      <c r="P11" s="213"/>
      <c r="Q11" s="213">
        <v>25171972000</v>
      </c>
      <c r="R11" s="213">
        <v>18302649000</v>
      </c>
      <c r="S11" s="213">
        <v>13594895000</v>
      </c>
      <c r="T11" s="209"/>
      <c r="U11" s="209"/>
      <c r="V11" s="209"/>
      <c r="W11" s="209"/>
      <c r="X11" s="209"/>
      <c r="Y11" s="209"/>
      <c r="Z11" s="209"/>
      <c r="AA11" s="209"/>
      <c r="AB11" s="209"/>
      <c r="AC11" s="213"/>
      <c r="AD11" s="213"/>
      <c r="AE11" s="213"/>
      <c r="AF11" s="209">
        <f t="shared" ref="AF11" si="1">+B11+E11+H11+K11+N11+Q11+T11+W11+Z11+AC11</f>
        <v>63765866000</v>
      </c>
      <c r="AG11" s="209">
        <f t="shared" si="0"/>
        <v>56243903000</v>
      </c>
      <c r="AH11" s="209">
        <f t="shared" si="0"/>
        <v>48481918000</v>
      </c>
    </row>
    <row r="12" spans="1:34" s="224" customFormat="1" x14ac:dyDescent="0.2">
      <c r="A12" s="223" t="s">
        <v>43</v>
      </c>
      <c r="B12" s="210">
        <f t="shared" ref="B12:AG12" si="2">+B10+B11</f>
        <v>125593051000</v>
      </c>
      <c r="C12" s="210">
        <f t="shared" si="2"/>
        <v>104419260000</v>
      </c>
      <c r="D12" s="210">
        <f>+D10+D11</f>
        <v>131824213000</v>
      </c>
      <c r="E12" s="210">
        <f t="shared" si="2"/>
        <v>108462000</v>
      </c>
      <c r="F12" s="210">
        <f t="shared" si="2"/>
        <v>51516000</v>
      </c>
      <c r="G12" s="210">
        <f t="shared" si="2"/>
        <v>81210000</v>
      </c>
      <c r="H12" s="210">
        <f t="shared" si="2"/>
        <v>4452939000</v>
      </c>
      <c r="I12" s="210">
        <f t="shared" si="2"/>
        <v>2338032000</v>
      </c>
      <c r="J12" s="210">
        <f t="shared" si="2"/>
        <v>11270840059</v>
      </c>
      <c r="K12" s="210">
        <f t="shared" si="2"/>
        <v>454106000</v>
      </c>
      <c r="L12" s="210">
        <f t="shared" si="2"/>
        <v>202110000</v>
      </c>
      <c r="M12" s="210">
        <f t="shared" si="2"/>
        <v>88107000</v>
      </c>
      <c r="N12" s="210">
        <f t="shared" si="2"/>
        <v>594570244</v>
      </c>
      <c r="O12" s="210">
        <f t="shared" si="2"/>
        <v>1129955706</v>
      </c>
      <c r="P12" s="210">
        <f t="shared" si="2"/>
        <v>607903192</v>
      </c>
      <c r="Q12" s="210">
        <f t="shared" si="2"/>
        <v>158626503000</v>
      </c>
      <c r="R12" s="210">
        <f t="shared" si="2"/>
        <v>110509734000</v>
      </c>
      <c r="S12" s="210">
        <f t="shared" si="2"/>
        <v>81039374000</v>
      </c>
      <c r="T12" s="210">
        <f t="shared" ref="T12:AA12" si="3">+T10+T11</f>
        <v>574409858</v>
      </c>
      <c r="U12" s="210">
        <f t="shared" si="3"/>
        <v>416360693</v>
      </c>
      <c r="V12" s="210">
        <f t="shared" si="3"/>
        <v>332345812</v>
      </c>
      <c r="W12" s="210">
        <f t="shared" si="3"/>
        <v>1000000</v>
      </c>
      <c r="X12" s="210">
        <f t="shared" si="3"/>
        <v>1000000</v>
      </c>
      <c r="Y12" s="210">
        <f t="shared" ref="Y12" si="4">+Y10+Y11</f>
        <v>1000000</v>
      </c>
      <c r="Z12" s="210">
        <f t="shared" si="3"/>
        <v>72413968000</v>
      </c>
      <c r="AA12" s="210">
        <f t="shared" si="3"/>
        <v>63067155000</v>
      </c>
      <c r="AB12" s="210">
        <f>+AB10+AB11</f>
        <v>66505533000</v>
      </c>
      <c r="AC12" s="210">
        <f>+AC10+AC11</f>
        <v>6335633444</v>
      </c>
      <c r="AD12" s="210">
        <f>+AD10+AD11</f>
        <v>3201884122</v>
      </c>
      <c r="AE12" s="210">
        <f>+AE10+AE11</f>
        <v>78290422906</v>
      </c>
      <c r="AF12" s="210">
        <f t="shared" si="2"/>
        <v>369154642546</v>
      </c>
      <c r="AG12" s="210">
        <f t="shared" si="2"/>
        <v>285337007521</v>
      </c>
      <c r="AH12" s="210">
        <f t="shared" ref="AH12" si="5">+AH10+AH11</f>
        <v>370040948969</v>
      </c>
    </row>
    <row r="13" spans="1:34" x14ac:dyDescent="0.2">
      <c r="A13" s="218" t="s">
        <v>44</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row>
    <row r="14" spans="1:34" x14ac:dyDescent="0.2">
      <c r="A14" s="214" t="s">
        <v>45</v>
      </c>
      <c r="B14" s="213">
        <v>81927830000</v>
      </c>
      <c r="C14" s="213">
        <v>22257514000</v>
      </c>
      <c r="D14" s="213">
        <v>33340811000</v>
      </c>
      <c r="E14" s="213">
        <f>41803*1000</f>
        <v>41803000</v>
      </c>
      <c r="F14" s="213">
        <f>82051*1000</f>
        <v>82051000</v>
      </c>
      <c r="G14" s="213">
        <v>58447000</v>
      </c>
      <c r="H14" s="213">
        <v>4352068000</v>
      </c>
      <c r="I14" s="213">
        <v>2257883000</v>
      </c>
      <c r="J14" s="213">
        <v>11200188119</v>
      </c>
      <c r="K14" s="213">
        <v>660239000</v>
      </c>
      <c r="L14" s="213">
        <v>457289000</v>
      </c>
      <c r="M14" s="213">
        <v>481268000</v>
      </c>
      <c r="N14" s="213">
        <v>23798729</v>
      </c>
      <c r="O14" s="213">
        <v>377222911</v>
      </c>
      <c r="P14" s="213">
        <v>604225692</v>
      </c>
      <c r="Q14" s="213">
        <v>16370173000</v>
      </c>
      <c r="R14" s="213">
        <v>14709604000</v>
      </c>
      <c r="S14" s="213">
        <v>12369449000</v>
      </c>
      <c r="T14" s="209">
        <v>2080000</v>
      </c>
      <c r="U14" s="209">
        <v>13851021</v>
      </c>
      <c r="V14" s="209">
        <v>15847823</v>
      </c>
      <c r="W14" s="209"/>
      <c r="X14" s="209"/>
      <c r="Y14" s="209"/>
      <c r="Z14" s="209">
        <v>23960737000</v>
      </c>
      <c r="AA14" s="209">
        <v>12648704000</v>
      </c>
      <c r="AB14" s="209">
        <v>10332024000</v>
      </c>
      <c r="AC14" s="213">
        <v>6331918694</v>
      </c>
      <c r="AD14" s="213">
        <v>3198169372</v>
      </c>
      <c r="AE14" s="213">
        <v>78286708156</v>
      </c>
      <c r="AF14" s="209">
        <f t="shared" ref="AF14:AF15" si="6">+B14+E14+H14+K14+N14+Q14+T14+W14+Z14+AC14</f>
        <v>133670647423</v>
      </c>
      <c r="AG14" s="209">
        <f t="shared" ref="AG14:AH15" si="7">+C14+F14+I14+L14+O14+R14+U14+X14+AA14+AD14</f>
        <v>56002288304</v>
      </c>
      <c r="AH14" s="209">
        <f t="shared" si="7"/>
        <v>146688968790</v>
      </c>
    </row>
    <row r="15" spans="1:34" x14ac:dyDescent="0.2">
      <c r="A15" s="226" t="s">
        <v>46</v>
      </c>
      <c r="B15" s="213">
        <v>24712217000</v>
      </c>
      <c r="C15" s="213">
        <v>18874528000</v>
      </c>
      <c r="D15" s="213">
        <v>16805798000</v>
      </c>
      <c r="E15" s="213">
        <f>101218*1000</f>
        <v>101218000</v>
      </c>
      <c r="F15" s="213">
        <f>101218*1000</f>
        <v>101218000</v>
      </c>
      <c r="G15" s="213">
        <v>101218000</v>
      </c>
      <c r="H15" s="213"/>
      <c r="I15" s="213"/>
      <c r="J15" s="213"/>
      <c r="K15" s="213"/>
      <c r="L15" s="213"/>
      <c r="M15" s="213"/>
      <c r="N15" s="213">
        <v>567094015</v>
      </c>
      <c r="O15" s="213">
        <v>749055295</v>
      </c>
      <c r="P15" s="213"/>
      <c r="Q15" s="213">
        <v>12273945000</v>
      </c>
      <c r="R15" s="213">
        <v>12579941000</v>
      </c>
      <c r="S15" s="213">
        <v>16873448000</v>
      </c>
      <c r="T15" s="209"/>
      <c r="U15" s="209"/>
      <c r="V15" s="209"/>
      <c r="W15" s="209"/>
      <c r="X15" s="209"/>
      <c r="Y15" s="209"/>
      <c r="Z15" s="209"/>
      <c r="AA15" s="209"/>
      <c r="AB15" s="209"/>
      <c r="AC15" s="213"/>
      <c r="AD15" s="213"/>
      <c r="AE15" s="213"/>
      <c r="AF15" s="209">
        <f t="shared" si="6"/>
        <v>37654474015</v>
      </c>
      <c r="AG15" s="209">
        <f t="shared" si="7"/>
        <v>32304742295</v>
      </c>
      <c r="AH15" s="209">
        <f t="shared" si="7"/>
        <v>33780464000</v>
      </c>
    </row>
    <row r="16" spans="1:34" s="224" customFormat="1" x14ac:dyDescent="0.2">
      <c r="A16" s="223" t="s">
        <v>47</v>
      </c>
      <c r="B16" s="210">
        <f t="shared" ref="B16:AG16" si="8">+B14+B15</f>
        <v>106640047000</v>
      </c>
      <c r="C16" s="210">
        <f t="shared" si="8"/>
        <v>41132042000</v>
      </c>
      <c r="D16" s="210">
        <f>+D14+D15</f>
        <v>50146609000</v>
      </c>
      <c r="E16" s="210">
        <f t="shared" si="8"/>
        <v>143021000</v>
      </c>
      <c r="F16" s="210">
        <f t="shared" si="8"/>
        <v>183269000</v>
      </c>
      <c r="G16" s="210">
        <f t="shared" si="8"/>
        <v>159665000</v>
      </c>
      <c r="H16" s="210">
        <f t="shared" si="8"/>
        <v>4352068000</v>
      </c>
      <c r="I16" s="210">
        <f t="shared" si="8"/>
        <v>2257883000</v>
      </c>
      <c r="J16" s="210">
        <f t="shared" si="8"/>
        <v>11200188119</v>
      </c>
      <c r="K16" s="210">
        <f t="shared" si="8"/>
        <v>660239000</v>
      </c>
      <c r="L16" s="210">
        <f t="shared" si="8"/>
        <v>457289000</v>
      </c>
      <c r="M16" s="210">
        <f t="shared" si="8"/>
        <v>481268000</v>
      </c>
      <c r="N16" s="210">
        <f t="shared" si="8"/>
        <v>590892744</v>
      </c>
      <c r="O16" s="210">
        <f t="shared" si="8"/>
        <v>1126278206</v>
      </c>
      <c r="P16" s="210">
        <f t="shared" si="8"/>
        <v>604225692</v>
      </c>
      <c r="Q16" s="210">
        <f t="shared" si="8"/>
        <v>28644118000</v>
      </c>
      <c r="R16" s="210">
        <f t="shared" si="8"/>
        <v>27289545000</v>
      </c>
      <c r="S16" s="210">
        <f t="shared" si="8"/>
        <v>29242897000</v>
      </c>
      <c r="T16" s="210">
        <f t="shared" ref="T16:AA16" si="9">+T14+T15</f>
        <v>2080000</v>
      </c>
      <c r="U16" s="210">
        <f t="shared" si="9"/>
        <v>13851021</v>
      </c>
      <c r="V16" s="210">
        <f t="shared" si="9"/>
        <v>15847823</v>
      </c>
      <c r="W16" s="210">
        <f t="shared" si="9"/>
        <v>0</v>
      </c>
      <c r="X16" s="210">
        <f t="shared" si="9"/>
        <v>0</v>
      </c>
      <c r="Y16" s="210">
        <f t="shared" ref="Y16" si="10">+Y14+Y15</f>
        <v>0</v>
      </c>
      <c r="Z16" s="210">
        <f t="shared" si="9"/>
        <v>23960737000</v>
      </c>
      <c r="AA16" s="210">
        <f t="shared" si="9"/>
        <v>12648704000</v>
      </c>
      <c r="AB16" s="210">
        <f>+AB14+AB15</f>
        <v>10332024000</v>
      </c>
      <c r="AC16" s="210">
        <f>+AC14+AC15</f>
        <v>6331918694</v>
      </c>
      <c r="AD16" s="210">
        <f>+AD14+AD15</f>
        <v>3198169372</v>
      </c>
      <c r="AE16" s="210">
        <f>+AE14+AE15</f>
        <v>78286708156</v>
      </c>
      <c r="AF16" s="210">
        <f t="shared" si="8"/>
        <v>171325121438</v>
      </c>
      <c r="AG16" s="210">
        <f t="shared" si="8"/>
        <v>88307030599</v>
      </c>
      <c r="AH16" s="210">
        <f t="shared" ref="AH16" si="11">+AH14+AH15</f>
        <v>180469432790</v>
      </c>
    </row>
    <row r="17" spans="1:34" x14ac:dyDescent="0.2">
      <c r="A17" s="218" t="s">
        <v>48</v>
      </c>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row>
    <row r="18" spans="1:34" x14ac:dyDescent="0.2">
      <c r="A18" s="214" t="s">
        <v>94</v>
      </c>
      <c r="B18" s="213">
        <v>1649821000</v>
      </c>
      <c r="C18" s="213">
        <v>1649821000</v>
      </c>
      <c r="D18" s="213">
        <v>1649821000</v>
      </c>
      <c r="E18" s="213">
        <f>46800*1000</f>
        <v>46800000</v>
      </c>
      <c r="F18" s="213">
        <f>46800*1000</f>
        <v>46800000</v>
      </c>
      <c r="G18" s="213">
        <f>46800*1000</f>
        <v>46800000</v>
      </c>
      <c r="H18" s="213">
        <v>1388000</v>
      </c>
      <c r="I18" s="213">
        <v>1388000</v>
      </c>
      <c r="J18" s="213">
        <v>1388000</v>
      </c>
      <c r="K18" s="213">
        <v>9514000</v>
      </c>
      <c r="L18" s="213">
        <v>9514000</v>
      </c>
      <c r="M18" s="213">
        <v>9514000</v>
      </c>
      <c r="N18" s="213">
        <v>3677500</v>
      </c>
      <c r="O18" s="213">
        <v>3677500</v>
      </c>
      <c r="P18" s="213">
        <v>3677500</v>
      </c>
      <c r="Q18" s="213">
        <v>280884000</v>
      </c>
      <c r="R18" s="213">
        <v>280884000</v>
      </c>
      <c r="S18" s="213">
        <v>280884000</v>
      </c>
      <c r="T18" s="209">
        <v>100000000</v>
      </c>
      <c r="U18" s="209">
        <v>100000000</v>
      </c>
      <c r="V18" s="209">
        <v>100000000</v>
      </c>
      <c r="W18" s="209">
        <v>1000000</v>
      </c>
      <c r="X18" s="209">
        <v>1000000</v>
      </c>
      <c r="Y18" s="209">
        <v>1000000</v>
      </c>
      <c r="Z18" s="209">
        <v>2000000</v>
      </c>
      <c r="AA18" s="209">
        <v>2000000</v>
      </c>
      <c r="AB18" s="209">
        <v>2000000</v>
      </c>
      <c r="AC18" s="213">
        <v>3714750</v>
      </c>
      <c r="AD18" s="213">
        <v>3714750</v>
      </c>
      <c r="AE18" s="213">
        <v>3714750</v>
      </c>
      <c r="AF18" s="209">
        <f t="shared" ref="AF18:AF31" si="12">+B18+E18+H18+K18+N18+Q18+T18+W18+Z18+AC18</f>
        <v>2098799250</v>
      </c>
      <c r="AG18" s="209">
        <f t="shared" ref="AG18:AH31" si="13">+C18+F18+I18+L18+O18+R18+U18+X18+AA18+AD18</f>
        <v>2098799250</v>
      </c>
      <c r="AH18" s="209">
        <f t="shared" si="13"/>
        <v>2098799250</v>
      </c>
    </row>
    <row r="19" spans="1:34" x14ac:dyDescent="0.2">
      <c r="A19" s="214" t="s">
        <v>182</v>
      </c>
      <c r="B19" s="213"/>
      <c r="C19" s="213"/>
      <c r="D19" s="213">
        <v>91284441000</v>
      </c>
      <c r="E19" s="213"/>
      <c r="F19" s="213"/>
      <c r="G19" s="213">
        <v>4068702000</v>
      </c>
      <c r="H19" s="213"/>
      <c r="I19" s="213"/>
      <c r="J19" s="213"/>
      <c r="K19" s="213">
        <v>1249442000</v>
      </c>
      <c r="L19" s="213">
        <v>1249442000</v>
      </c>
      <c r="M19" s="213">
        <v>1249442000</v>
      </c>
      <c r="N19" s="213"/>
      <c r="O19" s="213"/>
      <c r="P19" s="213"/>
      <c r="Q19" s="213">
        <v>3301753000</v>
      </c>
      <c r="R19" s="213">
        <v>3301753000</v>
      </c>
      <c r="S19" s="213">
        <v>3301753000</v>
      </c>
      <c r="T19" s="209">
        <f>1134812516</f>
        <v>1134812516</v>
      </c>
      <c r="U19" s="209">
        <f>1134812516</f>
        <v>1134812516</v>
      </c>
      <c r="V19" s="209">
        <f>1134812516</f>
        <v>1134812516</v>
      </c>
      <c r="W19" s="209"/>
      <c r="X19" s="209"/>
      <c r="Y19" s="209"/>
      <c r="Z19" s="209"/>
      <c r="AA19" s="209"/>
      <c r="AB19" s="209"/>
      <c r="AC19" s="213"/>
      <c r="AD19" s="213"/>
      <c r="AE19" s="213"/>
      <c r="AF19" s="209">
        <f t="shared" si="12"/>
        <v>5686007516</v>
      </c>
      <c r="AG19" s="209">
        <f t="shared" si="13"/>
        <v>5686007516</v>
      </c>
      <c r="AH19" s="209">
        <f t="shared" si="13"/>
        <v>101039150516</v>
      </c>
    </row>
    <row r="20" spans="1:34" x14ac:dyDescent="0.2">
      <c r="A20" s="214" t="s">
        <v>181</v>
      </c>
      <c r="B20" s="213">
        <v>20684064000</v>
      </c>
      <c r="C20" s="213">
        <v>65284441000</v>
      </c>
      <c r="D20" s="213"/>
      <c r="E20" s="213"/>
      <c r="F20" s="213"/>
      <c r="G20" s="213"/>
      <c r="H20" s="213"/>
      <c r="I20" s="213"/>
      <c r="J20" s="213"/>
      <c r="K20" s="213"/>
      <c r="L20" s="213"/>
      <c r="M20" s="213"/>
      <c r="N20" s="213"/>
      <c r="O20" s="213"/>
      <c r="P20" s="213"/>
      <c r="Q20" s="213"/>
      <c r="R20" s="213"/>
      <c r="S20" s="213"/>
      <c r="T20" s="209"/>
      <c r="U20" s="209"/>
      <c r="V20" s="209"/>
      <c r="W20" s="209"/>
      <c r="X20" s="209"/>
      <c r="Y20" s="209"/>
      <c r="Z20" s="209"/>
      <c r="AA20" s="209"/>
      <c r="AB20" s="209"/>
      <c r="AC20" s="213"/>
      <c r="AD20" s="213"/>
      <c r="AE20" s="213"/>
      <c r="AF20" s="209">
        <f t="shared" si="12"/>
        <v>20684064000</v>
      </c>
      <c r="AG20" s="209">
        <f t="shared" si="13"/>
        <v>65284441000</v>
      </c>
      <c r="AH20" s="209">
        <f t="shared" si="13"/>
        <v>0</v>
      </c>
    </row>
    <row r="21" spans="1:34" s="216" customFormat="1" x14ac:dyDescent="0.2">
      <c r="A21" s="214" t="s">
        <v>50</v>
      </c>
      <c r="B21" s="213"/>
      <c r="C21" s="213"/>
      <c r="D21" s="213"/>
      <c r="E21" s="213"/>
      <c r="F21" s="213"/>
      <c r="G21" s="213"/>
      <c r="H21" s="213">
        <v>694000</v>
      </c>
      <c r="I21" s="213">
        <v>694000</v>
      </c>
      <c r="J21" s="213">
        <v>694000</v>
      </c>
      <c r="K21" s="213"/>
      <c r="L21" s="213"/>
      <c r="M21" s="213"/>
      <c r="N21" s="213"/>
      <c r="O21" s="213"/>
      <c r="P21" s="213"/>
      <c r="Q21" s="213">
        <v>1791319000</v>
      </c>
      <c r="R21" s="213">
        <v>1791319000</v>
      </c>
      <c r="S21" s="213">
        <v>1791319000</v>
      </c>
      <c r="T21" s="209"/>
      <c r="U21" s="209"/>
      <c r="V21" s="209"/>
      <c r="W21" s="209"/>
      <c r="X21" s="209"/>
      <c r="Y21" s="209"/>
      <c r="Z21" s="209">
        <v>1000000</v>
      </c>
      <c r="AA21" s="209">
        <v>1000000</v>
      </c>
      <c r="AB21" s="209">
        <v>1000000</v>
      </c>
      <c r="AC21" s="213"/>
      <c r="AD21" s="213"/>
      <c r="AE21" s="213"/>
      <c r="AF21" s="209">
        <f t="shared" si="12"/>
        <v>1793013000</v>
      </c>
      <c r="AG21" s="209">
        <f t="shared" si="13"/>
        <v>1793013000</v>
      </c>
      <c r="AH21" s="209">
        <f t="shared" si="13"/>
        <v>1793013000</v>
      </c>
    </row>
    <row r="22" spans="1:34" s="216" customFormat="1" x14ac:dyDescent="0.2">
      <c r="A22" s="214" t="s">
        <v>95</v>
      </c>
      <c r="B22" s="213"/>
      <c r="C22" s="213"/>
      <c r="D22" s="213"/>
      <c r="E22" s="213"/>
      <c r="F22" s="213"/>
      <c r="G22" s="213"/>
      <c r="H22" s="213"/>
      <c r="I22" s="213"/>
      <c r="J22" s="213"/>
      <c r="K22" s="213"/>
      <c r="L22" s="213"/>
      <c r="M22" s="213"/>
      <c r="N22" s="213"/>
      <c r="O22" s="213"/>
      <c r="P22" s="213"/>
      <c r="Q22" s="213"/>
      <c r="R22" s="213"/>
      <c r="S22" s="213"/>
      <c r="T22" s="209"/>
      <c r="U22" s="209"/>
      <c r="V22" s="209"/>
      <c r="W22" s="209"/>
      <c r="X22" s="209"/>
      <c r="Y22" s="209"/>
      <c r="Z22" s="209"/>
      <c r="AA22" s="209"/>
      <c r="AB22" s="209"/>
      <c r="AC22" s="213"/>
      <c r="AD22" s="213"/>
      <c r="AE22" s="213"/>
      <c r="AF22" s="209">
        <f t="shared" si="12"/>
        <v>0</v>
      </c>
      <c r="AG22" s="209">
        <f t="shared" si="13"/>
        <v>0</v>
      </c>
      <c r="AH22" s="209">
        <f t="shared" si="13"/>
        <v>0</v>
      </c>
    </row>
    <row r="23" spans="1:34" x14ac:dyDescent="0.2">
      <c r="A23" s="214" t="s">
        <v>51</v>
      </c>
      <c r="B23" s="209"/>
      <c r="C23" s="209"/>
      <c r="D23" s="209"/>
      <c r="E23" s="209"/>
      <c r="F23" s="209"/>
      <c r="G23" s="209"/>
      <c r="H23" s="209">
        <v>30219000</v>
      </c>
      <c r="I23" s="209">
        <v>9497000</v>
      </c>
      <c r="J23" s="209"/>
      <c r="K23" s="209"/>
      <c r="L23" s="209"/>
      <c r="M23" s="209"/>
      <c r="N23" s="209"/>
      <c r="O23" s="209"/>
      <c r="P23" s="209"/>
      <c r="Q23" s="209"/>
      <c r="R23" s="209"/>
      <c r="S23" s="209"/>
      <c r="T23" s="209"/>
      <c r="U23" s="209"/>
      <c r="V23" s="209"/>
      <c r="W23" s="209"/>
      <c r="X23" s="209"/>
      <c r="Y23" s="209"/>
      <c r="Z23" s="209">
        <v>18587069000</v>
      </c>
      <c r="AA23" s="209">
        <f>7245978000</f>
        <v>7245978000</v>
      </c>
      <c r="AB23" s="209">
        <v>11639617000</v>
      </c>
      <c r="AC23" s="209"/>
      <c r="AD23" s="209"/>
      <c r="AE23" s="209"/>
      <c r="AF23" s="209">
        <f t="shared" si="12"/>
        <v>18617288000</v>
      </c>
      <c r="AG23" s="209">
        <f t="shared" si="13"/>
        <v>7255475000</v>
      </c>
      <c r="AH23" s="209">
        <f t="shared" si="13"/>
        <v>11639617000</v>
      </c>
    </row>
    <row r="24" spans="1:34" s="216" customFormat="1" x14ac:dyDescent="0.2">
      <c r="A24" s="214" t="s">
        <v>52</v>
      </c>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f t="shared" si="12"/>
        <v>0</v>
      </c>
      <c r="AG24" s="209">
        <f t="shared" si="13"/>
        <v>0</v>
      </c>
      <c r="AH24" s="209">
        <f t="shared" si="13"/>
        <v>0</v>
      </c>
    </row>
    <row r="25" spans="1:34" s="216" customFormat="1" x14ac:dyDescent="0.2">
      <c r="A25" s="214" t="s">
        <v>53</v>
      </c>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09"/>
      <c r="AA25" s="211"/>
      <c r="AB25" s="211"/>
      <c r="AC25" s="211"/>
      <c r="AD25" s="211"/>
      <c r="AE25" s="211"/>
      <c r="AF25" s="209">
        <f t="shared" si="12"/>
        <v>0</v>
      </c>
      <c r="AG25" s="209">
        <f t="shared" si="13"/>
        <v>0</v>
      </c>
      <c r="AH25" s="209">
        <f t="shared" si="13"/>
        <v>0</v>
      </c>
    </row>
    <row r="26" spans="1:34" x14ac:dyDescent="0.2">
      <c r="A26" s="214" t="s">
        <v>54</v>
      </c>
      <c r="B26" s="213">
        <v>-8054863000</v>
      </c>
      <c r="C26" s="213">
        <v>-266163000</v>
      </c>
      <c r="D26" s="213">
        <v>-7609614000</v>
      </c>
      <c r="E26" s="213">
        <f>-527981*1000</f>
        <v>-527981000</v>
      </c>
      <c r="F26" s="213">
        <f>-838650*1000</f>
        <v>-838650000</v>
      </c>
      <c r="G26" s="213">
        <v>-722021000</v>
      </c>
      <c r="H26" s="213"/>
      <c r="I26" s="213"/>
      <c r="J26" s="213"/>
      <c r="K26" s="213">
        <v>-324254000</v>
      </c>
      <c r="L26" s="213">
        <v>-49046000</v>
      </c>
      <c r="M26" s="213">
        <v>-137982000</v>
      </c>
      <c r="N26" s="213"/>
      <c r="O26" s="213"/>
      <c r="P26" s="213"/>
      <c r="Q26" s="213">
        <v>81794924000</v>
      </c>
      <c r="R26" s="213">
        <v>53654490000</v>
      </c>
      <c r="S26" s="213">
        <v>19340366000</v>
      </c>
      <c r="T26" s="209">
        <v>-150558155</v>
      </c>
      <c r="U26" s="209">
        <v>-169820186</v>
      </c>
      <c r="V26" s="209">
        <v>-86011683</v>
      </c>
      <c r="W26" s="209"/>
      <c r="X26" s="209"/>
      <c r="Y26" s="209"/>
      <c r="Z26" s="209"/>
      <c r="AA26" s="209"/>
      <c r="AB26" s="209">
        <v>1361419000</v>
      </c>
      <c r="AC26" s="213"/>
      <c r="AD26" s="213"/>
      <c r="AE26" s="213"/>
      <c r="AF26" s="209">
        <f t="shared" si="12"/>
        <v>72737267845</v>
      </c>
      <c r="AG26" s="209">
        <f t="shared" si="13"/>
        <v>52330810814</v>
      </c>
      <c r="AH26" s="209">
        <f t="shared" si="13"/>
        <v>12146156317</v>
      </c>
    </row>
    <row r="27" spans="1:34" x14ac:dyDescent="0.2">
      <c r="A27" s="214" t="s">
        <v>55</v>
      </c>
      <c r="B27" s="213">
        <f>-3154532000</f>
        <v>-3154532000</v>
      </c>
      <c r="C27" s="213">
        <v>-11209395000</v>
      </c>
      <c r="D27" s="213">
        <f>+C27+C26</f>
        <v>-11475558000</v>
      </c>
      <c r="E27" s="213">
        <f>-2105305*1000</f>
        <v>-2105305000</v>
      </c>
      <c r="F27" s="213">
        <f>-2633286*1000</f>
        <v>-2633286000</v>
      </c>
      <c r="G27" s="213">
        <f>+F27+F26</f>
        <v>-3471936000</v>
      </c>
      <c r="H27" s="213"/>
      <c r="I27" s="213"/>
      <c r="J27" s="213"/>
      <c r="K27" s="213">
        <v>-984277000</v>
      </c>
      <c r="L27" s="213">
        <v>-1308531000</v>
      </c>
      <c r="M27" s="213">
        <f>+L27+L26</f>
        <v>-1357577000</v>
      </c>
      <c r="N27" s="213"/>
      <c r="O27" s="213"/>
      <c r="P27" s="213"/>
      <c r="Q27" s="213">
        <v>4163088000</v>
      </c>
      <c r="R27" s="213">
        <v>4163088000</v>
      </c>
      <c r="S27" s="213">
        <v>4163084000</v>
      </c>
      <c r="T27" s="209">
        <v>-511924503</v>
      </c>
      <c r="U27" s="209">
        <v>-662482658</v>
      </c>
      <c r="V27" s="209">
        <f>+U27+U26</f>
        <v>-832302844</v>
      </c>
      <c r="W27" s="209"/>
      <c r="X27" s="209"/>
      <c r="Y27" s="209"/>
      <c r="Z27" s="209">
        <v>29863162000</v>
      </c>
      <c r="AA27" s="209">
        <v>43169473000</v>
      </c>
      <c r="AB27" s="209">
        <v>43169473000</v>
      </c>
      <c r="AC27" s="213"/>
      <c r="AD27" s="213"/>
      <c r="AE27" s="213"/>
      <c r="AF27" s="209">
        <f t="shared" si="12"/>
        <v>27270211497</v>
      </c>
      <c r="AG27" s="209">
        <f t="shared" si="13"/>
        <v>31518866342</v>
      </c>
      <c r="AH27" s="209">
        <f t="shared" si="13"/>
        <v>30195183156</v>
      </c>
    </row>
    <row r="28" spans="1:34" x14ac:dyDescent="0.2">
      <c r="A28" s="214" t="s">
        <v>56</v>
      </c>
      <c r="B28" s="213"/>
      <c r="C28" s="213"/>
      <c r="D28" s="213"/>
      <c r="E28" s="213"/>
      <c r="F28" s="213"/>
      <c r="G28" s="213"/>
      <c r="H28" s="213"/>
      <c r="I28" s="213"/>
      <c r="J28" s="213"/>
      <c r="K28" s="213">
        <v>-156558000</v>
      </c>
      <c r="L28" s="213">
        <v>-156558000</v>
      </c>
      <c r="M28" s="213">
        <v>-156558000</v>
      </c>
      <c r="N28" s="213"/>
      <c r="O28" s="213"/>
      <c r="P28" s="213"/>
      <c r="Q28" s="213"/>
      <c r="R28" s="213"/>
      <c r="S28" s="213"/>
      <c r="T28" s="209"/>
      <c r="U28" s="209"/>
      <c r="V28" s="209"/>
      <c r="W28" s="209"/>
      <c r="X28" s="209"/>
      <c r="Y28" s="209"/>
      <c r="Z28" s="209"/>
      <c r="AA28" s="209"/>
      <c r="AB28" s="209"/>
      <c r="AC28" s="213"/>
      <c r="AD28" s="213"/>
      <c r="AE28" s="213"/>
      <c r="AF28" s="209">
        <f t="shared" si="12"/>
        <v>-156558000</v>
      </c>
      <c r="AG28" s="209">
        <f t="shared" si="13"/>
        <v>-156558000</v>
      </c>
      <c r="AH28" s="209">
        <f t="shared" si="13"/>
        <v>-156558000</v>
      </c>
    </row>
    <row r="29" spans="1:34" x14ac:dyDescent="0.2">
      <c r="A29" s="214" t="s">
        <v>57</v>
      </c>
      <c r="B29" s="209">
        <v>7828514000</v>
      </c>
      <c r="C29" s="209">
        <v>7828514000</v>
      </c>
      <c r="D29" s="209">
        <v>7828514000</v>
      </c>
      <c r="E29" s="209"/>
      <c r="F29" s="209"/>
      <c r="G29" s="209"/>
      <c r="H29" s="209">
        <v>68570000</v>
      </c>
      <c r="I29" s="209">
        <v>68570000</v>
      </c>
      <c r="J29" s="209">
        <v>68569940</v>
      </c>
      <c r="K29" s="209"/>
      <c r="L29" s="209"/>
      <c r="M29" s="209"/>
      <c r="N29" s="209"/>
      <c r="O29" s="209"/>
      <c r="P29" s="209"/>
      <c r="Q29" s="209"/>
      <c r="R29" s="209"/>
      <c r="S29" s="209"/>
      <c r="T29" s="209"/>
      <c r="U29" s="209"/>
      <c r="V29" s="209"/>
      <c r="W29" s="209"/>
      <c r="X29" s="209"/>
      <c r="Y29" s="209"/>
      <c r="Z29" s="209"/>
      <c r="AA29" s="209"/>
      <c r="AB29" s="209"/>
      <c r="AC29" s="209"/>
      <c r="AD29" s="209"/>
      <c r="AE29" s="209"/>
      <c r="AF29" s="209">
        <f t="shared" si="12"/>
        <v>7897084000</v>
      </c>
      <c r="AG29" s="209">
        <f t="shared" si="13"/>
        <v>7897084000</v>
      </c>
      <c r="AH29" s="209">
        <f t="shared" si="13"/>
        <v>7897083940</v>
      </c>
    </row>
    <row r="30" spans="1:34" x14ac:dyDescent="0.2">
      <c r="A30" s="214" t="s">
        <v>96</v>
      </c>
      <c r="B30" s="213"/>
      <c r="C30" s="213"/>
      <c r="D30" s="213"/>
      <c r="E30" s="213">
        <f>2551927*1000</f>
        <v>2551927000</v>
      </c>
      <c r="F30" s="213">
        <f>3293383*1000</f>
        <v>3293383000</v>
      </c>
      <c r="G30" s="213"/>
      <c r="H30" s="213"/>
      <c r="I30" s="213"/>
      <c r="J30" s="213"/>
      <c r="K30" s="213"/>
      <c r="L30" s="213"/>
      <c r="M30" s="213"/>
      <c r="N30" s="213"/>
      <c r="O30" s="213"/>
      <c r="P30" s="213"/>
      <c r="Q30" s="213"/>
      <c r="R30" s="213"/>
      <c r="S30" s="213"/>
      <c r="T30" s="209"/>
      <c r="U30" s="209"/>
      <c r="V30" s="209"/>
      <c r="W30" s="209"/>
      <c r="X30" s="209"/>
      <c r="Y30" s="209"/>
      <c r="Z30" s="209"/>
      <c r="AA30" s="209"/>
      <c r="AB30" s="209"/>
      <c r="AC30" s="213"/>
      <c r="AD30" s="213"/>
      <c r="AE30" s="213"/>
      <c r="AF30" s="209">
        <f t="shared" si="12"/>
        <v>2551927000</v>
      </c>
      <c r="AG30" s="209">
        <f t="shared" si="13"/>
        <v>3293383000</v>
      </c>
      <c r="AH30" s="209">
        <f t="shared" si="13"/>
        <v>0</v>
      </c>
    </row>
    <row r="31" spans="1:34" x14ac:dyDescent="0.2">
      <c r="A31" s="214" t="s">
        <v>58</v>
      </c>
      <c r="B31" s="209"/>
      <c r="C31" s="209"/>
      <c r="D31" s="209"/>
      <c r="E31" s="209"/>
      <c r="F31" s="209"/>
      <c r="G31" s="209"/>
      <c r="H31" s="209"/>
      <c r="I31" s="209"/>
      <c r="J31" s="209"/>
      <c r="K31" s="209"/>
      <c r="L31" s="209"/>
      <c r="M31" s="209"/>
      <c r="N31" s="209"/>
      <c r="O31" s="209"/>
      <c r="P31" s="209"/>
      <c r="Q31" s="209">
        <v>38650417000</v>
      </c>
      <c r="R31" s="209">
        <v>20028655000</v>
      </c>
      <c r="S31" s="209">
        <v>22919071000</v>
      </c>
      <c r="T31" s="209"/>
      <c r="U31" s="209"/>
      <c r="V31" s="209"/>
      <c r="W31" s="209"/>
      <c r="X31" s="209"/>
      <c r="Y31" s="209"/>
      <c r="Z31" s="209"/>
      <c r="AA31" s="209"/>
      <c r="AB31" s="209"/>
      <c r="AC31" s="209"/>
      <c r="AD31" s="209"/>
      <c r="AE31" s="209"/>
      <c r="AF31" s="209">
        <f t="shared" si="12"/>
        <v>38650417000</v>
      </c>
      <c r="AG31" s="209">
        <f t="shared" si="13"/>
        <v>20028655000</v>
      </c>
      <c r="AH31" s="209">
        <f t="shared" si="13"/>
        <v>22919071000</v>
      </c>
    </row>
    <row r="32" spans="1:34" s="224" customFormat="1" x14ac:dyDescent="0.2">
      <c r="A32" s="223" t="s">
        <v>59</v>
      </c>
      <c r="B32" s="210">
        <f t="shared" ref="B32:R32" si="14">SUM(B18:B31)</f>
        <v>18953004000</v>
      </c>
      <c r="C32" s="210">
        <f t="shared" si="14"/>
        <v>63287218000</v>
      </c>
      <c r="D32" s="210">
        <f>SUM(D18:D31)</f>
        <v>81677604000</v>
      </c>
      <c r="E32" s="210">
        <f t="shared" si="14"/>
        <v>-34559000</v>
      </c>
      <c r="F32" s="210">
        <f t="shared" si="14"/>
        <v>-131753000</v>
      </c>
      <c r="G32" s="210">
        <f t="shared" ref="G32" si="15">SUM(G18:G31)</f>
        <v>-78455000</v>
      </c>
      <c r="H32" s="210">
        <f t="shared" si="14"/>
        <v>100871000</v>
      </c>
      <c r="I32" s="210">
        <f t="shared" si="14"/>
        <v>80149000</v>
      </c>
      <c r="J32" s="210">
        <f t="shared" ref="J32" si="16">SUM(J18:J31)</f>
        <v>70651940</v>
      </c>
      <c r="K32" s="210">
        <f t="shared" si="14"/>
        <v>-206133000</v>
      </c>
      <c r="L32" s="210">
        <f t="shared" si="14"/>
        <v>-255179000</v>
      </c>
      <c r="M32" s="210">
        <f t="shared" ref="M32" si="17">SUM(M18:M31)</f>
        <v>-393161000</v>
      </c>
      <c r="N32" s="210">
        <f t="shared" si="14"/>
        <v>3677500</v>
      </c>
      <c r="O32" s="210">
        <f t="shared" si="14"/>
        <v>3677500</v>
      </c>
      <c r="P32" s="210">
        <f t="shared" ref="P32" si="18">SUM(P18:P31)</f>
        <v>3677500</v>
      </c>
      <c r="Q32" s="210">
        <f t="shared" si="14"/>
        <v>129982385000</v>
      </c>
      <c r="R32" s="210">
        <f t="shared" si="14"/>
        <v>83220189000</v>
      </c>
      <c r="S32" s="210">
        <f t="shared" ref="S32" si="19">SUM(S18:S31)</f>
        <v>51796477000</v>
      </c>
      <c r="T32" s="210">
        <f t="shared" ref="T32:AA32" si="20">SUM(T17:T31)</f>
        <v>572329858</v>
      </c>
      <c r="U32" s="210">
        <f t="shared" si="20"/>
        <v>402509672</v>
      </c>
      <c r="V32" s="210">
        <f t="shared" ref="V32" si="21">SUM(V17:V31)</f>
        <v>316497989</v>
      </c>
      <c r="W32" s="210">
        <f t="shared" si="20"/>
        <v>1000000</v>
      </c>
      <c r="X32" s="210">
        <f t="shared" si="20"/>
        <v>1000000</v>
      </c>
      <c r="Y32" s="210">
        <f t="shared" ref="Y32" si="22">SUM(Y17:Y31)</f>
        <v>1000000</v>
      </c>
      <c r="Z32" s="210">
        <f t="shared" si="20"/>
        <v>48453231000</v>
      </c>
      <c r="AA32" s="210">
        <f t="shared" si="20"/>
        <v>50418451000</v>
      </c>
      <c r="AB32" s="210">
        <f>SUM(AB17:AB31)</f>
        <v>56173509000</v>
      </c>
      <c r="AC32" s="210">
        <f>SUM(AC18:AC31)</f>
        <v>3714750</v>
      </c>
      <c r="AD32" s="210">
        <f>SUM(AD18:AD31)</f>
        <v>3714750</v>
      </c>
      <c r="AE32" s="210">
        <f>SUM(AE18:AE31)</f>
        <v>3714750</v>
      </c>
      <c r="AF32" s="210">
        <f t="shared" ref="AF32:AG32" si="23">SUM(AF18:AF31)</f>
        <v>197829521108</v>
      </c>
      <c r="AG32" s="210">
        <f t="shared" si="23"/>
        <v>197029976922</v>
      </c>
      <c r="AH32" s="210">
        <f t="shared" ref="AH32" si="24">SUM(AH18:AH31)</f>
        <v>189571516179</v>
      </c>
    </row>
    <row r="33" spans="1:34" s="224" customFormat="1" x14ac:dyDescent="0.2">
      <c r="A33" s="223" t="s">
        <v>60</v>
      </c>
      <c r="B33" s="210">
        <f t="shared" ref="B33:AG33" si="25">+B16+B32</f>
        <v>125593051000</v>
      </c>
      <c r="C33" s="210">
        <f t="shared" si="25"/>
        <v>104419260000</v>
      </c>
      <c r="D33" s="210">
        <f>+D16+D32</f>
        <v>131824213000</v>
      </c>
      <c r="E33" s="210">
        <f t="shared" si="25"/>
        <v>108462000</v>
      </c>
      <c r="F33" s="210">
        <f t="shared" si="25"/>
        <v>51516000</v>
      </c>
      <c r="G33" s="210">
        <f t="shared" ref="G33" si="26">+G16+G32</f>
        <v>81210000</v>
      </c>
      <c r="H33" s="210">
        <f t="shared" si="25"/>
        <v>4452939000</v>
      </c>
      <c r="I33" s="210">
        <f t="shared" si="25"/>
        <v>2338032000</v>
      </c>
      <c r="J33" s="210">
        <f t="shared" ref="J33" si="27">+J16+J32</f>
        <v>11270840059</v>
      </c>
      <c r="K33" s="210">
        <f t="shared" si="25"/>
        <v>454106000</v>
      </c>
      <c r="L33" s="210">
        <f t="shared" si="25"/>
        <v>202110000</v>
      </c>
      <c r="M33" s="210">
        <f t="shared" ref="M33" si="28">+M16+M32</f>
        <v>88107000</v>
      </c>
      <c r="N33" s="210">
        <f t="shared" si="25"/>
        <v>594570244</v>
      </c>
      <c r="O33" s="210">
        <f t="shared" si="25"/>
        <v>1129955706</v>
      </c>
      <c r="P33" s="210">
        <f t="shared" ref="P33" si="29">+P16+P32</f>
        <v>607903192</v>
      </c>
      <c r="Q33" s="210">
        <f t="shared" si="25"/>
        <v>158626503000</v>
      </c>
      <c r="R33" s="210">
        <f t="shared" si="25"/>
        <v>110509734000</v>
      </c>
      <c r="S33" s="210">
        <f t="shared" ref="S33" si="30">+S16+S32</f>
        <v>81039374000</v>
      </c>
      <c r="T33" s="210">
        <f t="shared" ref="T33:AA33" si="31">+T16+T32</f>
        <v>574409858</v>
      </c>
      <c r="U33" s="210">
        <f t="shared" si="31"/>
        <v>416360693</v>
      </c>
      <c r="V33" s="210">
        <f t="shared" ref="V33" si="32">+V16+V32</f>
        <v>332345812</v>
      </c>
      <c r="W33" s="210">
        <f t="shared" si="31"/>
        <v>1000000</v>
      </c>
      <c r="X33" s="210">
        <f t="shared" si="31"/>
        <v>1000000</v>
      </c>
      <c r="Y33" s="210">
        <f t="shared" ref="Y33" si="33">+Y16+Y32</f>
        <v>1000000</v>
      </c>
      <c r="Z33" s="210">
        <f t="shared" si="31"/>
        <v>72413968000</v>
      </c>
      <c r="AA33" s="210">
        <f t="shared" si="31"/>
        <v>63067155000</v>
      </c>
      <c r="AB33" s="210">
        <f>+AB16+AB32</f>
        <v>66505533000</v>
      </c>
      <c r="AC33" s="210">
        <f>+AC16+AC32</f>
        <v>6335633444</v>
      </c>
      <c r="AD33" s="210">
        <f>+AD16+AD32</f>
        <v>3201884122</v>
      </c>
      <c r="AE33" s="210">
        <f>+AE16+AE32</f>
        <v>78290422906</v>
      </c>
      <c r="AF33" s="210">
        <f t="shared" si="25"/>
        <v>369154642546</v>
      </c>
      <c r="AG33" s="210">
        <f t="shared" si="25"/>
        <v>285337007521</v>
      </c>
      <c r="AH33" s="210">
        <f t="shared" ref="AH33" si="34">+AH16+AH32</f>
        <v>370040948969</v>
      </c>
    </row>
    <row r="34" spans="1:34" s="224" customFormat="1" x14ac:dyDescent="0.2">
      <c r="A34" s="232"/>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row>
    <row r="35" spans="1:34" s="224" customFormat="1" ht="15" x14ac:dyDescent="0.2">
      <c r="A35" s="306" t="s">
        <v>242</v>
      </c>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row>
    <row r="36" spans="1:34" s="224" customFormat="1" x14ac:dyDescent="0.2">
      <c r="A36" s="216"/>
      <c r="B36" s="233"/>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row>
    <row r="37" spans="1:34" x14ac:dyDescent="0.2">
      <c r="A37" s="226" t="s">
        <v>61</v>
      </c>
      <c r="B37" s="213">
        <v>467128022000</v>
      </c>
      <c r="C37" s="213">
        <v>467853533000</v>
      </c>
      <c r="D37" s="213">
        <v>229499547000</v>
      </c>
      <c r="E37" s="213"/>
      <c r="F37" s="213"/>
      <c r="G37" s="213"/>
      <c r="H37" s="213">
        <v>0</v>
      </c>
      <c r="I37" s="213">
        <v>0</v>
      </c>
      <c r="J37" s="213"/>
      <c r="K37" s="213">
        <v>2000</v>
      </c>
      <c r="L37" s="213">
        <v>36740000</v>
      </c>
      <c r="M37" s="213"/>
      <c r="N37" s="213"/>
      <c r="O37" s="213"/>
      <c r="P37" s="213"/>
      <c r="Q37" s="213">
        <v>152829902000</v>
      </c>
      <c r="R37" s="213">
        <v>109578991000</v>
      </c>
      <c r="S37" s="213">
        <v>48990154000</v>
      </c>
      <c r="T37" s="235"/>
      <c r="U37" s="235"/>
      <c r="V37" s="235"/>
      <c r="W37" s="235"/>
      <c r="X37" s="235"/>
      <c r="Y37" s="235"/>
      <c r="Z37" s="235">
        <v>21016060000</v>
      </c>
      <c r="AA37" s="235">
        <v>34748844000</v>
      </c>
      <c r="AB37" s="235">
        <v>11179394000</v>
      </c>
      <c r="AC37" s="213">
        <v>162341506712</v>
      </c>
      <c r="AD37" s="213">
        <v>172799141902</v>
      </c>
      <c r="AE37" s="213"/>
      <c r="AF37" s="209">
        <f t="shared" ref="AF37:AF39" si="35">+B37+E37+H37+K37+N37+Q37+T37+W37+Z37+AC37</f>
        <v>803315492712</v>
      </c>
      <c r="AG37" s="209">
        <f t="shared" ref="AG37:AH39" si="36">+C37+F37+I37+L37+O37+R37+U37+X37+AA37+AD37</f>
        <v>785017249902</v>
      </c>
      <c r="AH37" s="209">
        <f t="shared" si="36"/>
        <v>289669095000</v>
      </c>
    </row>
    <row r="38" spans="1:34" x14ac:dyDescent="0.2">
      <c r="A38" s="226" t="s">
        <v>62</v>
      </c>
      <c r="B38" s="213">
        <v>435403649000</v>
      </c>
      <c r="C38" s="213">
        <v>426925170000</v>
      </c>
      <c r="D38" s="213">
        <v>192718670000</v>
      </c>
      <c r="E38" s="213"/>
      <c r="F38" s="213"/>
      <c r="G38" s="213"/>
      <c r="H38" s="213">
        <v>0</v>
      </c>
      <c r="I38" s="213">
        <v>0</v>
      </c>
      <c r="J38" s="213"/>
      <c r="K38" s="213"/>
      <c r="L38" s="213"/>
      <c r="M38" s="213"/>
      <c r="N38" s="213">
        <v>4642994540</v>
      </c>
      <c r="O38" s="213">
        <v>5094239038</v>
      </c>
      <c r="P38" s="213"/>
      <c r="Q38" s="213">
        <v>68352492000</v>
      </c>
      <c r="R38" s="213">
        <v>53986483000</v>
      </c>
      <c r="S38" s="213">
        <v>29041679000</v>
      </c>
      <c r="T38" s="235"/>
      <c r="U38" s="235"/>
      <c r="V38" s="235"/>
      <c r="W38" s="235"/>
      <c r="X38" s="235"/>
      <c r="Y38" s="235"/>
      <c r="Z38" s="235">
        <v>21288924000</v>
      </c>
      <c r="AA38" s="235">
        <v>20162594000</v>
      </c>
      <c r="AB38" s="235">
        <v>9549101000</v>
      </c>
      <c r="AC38" s="213">
        <v>63037463</v>
      </c>
      <c r="AD38" s="213">
        <v>72075760</v>
      </c>
      <c r="AE38" s="213"/>
      <c r="AF38" s="209">
        <f t="shared" si="35"/>
        <v>529751097003</v>
      </c>
      <c r="AG38" s="209">
        <f t="shared" si="36"/>
        <v>506240561798</v>
      </c>
      <c r="AH38" s="209">
        <f t="shared" si="36"/>
        <v>231309450000</v>
      </c>
    </row>
    <row r="39" spans="1:34" x14ac:dyDescent="0.2">
      <c r="A39" s="214" t="s">
        <v>63</v>
      </c>
      <c r="B39" s="213">
        <v>33134794000</v>
      </c>
      <c r="C39" s="213">
        <v>34775298000</v>
      </c>
      <c r="D39" s="213">
        <v>27663012000</v>
      </c>
      <c r="E39" s="213">
        <f>195868*1000</f>
        <v>195868000</v>
      </c>
      <c r="F39" s="213">
        <f>500385*1000</f>
        <v>500385000</v>
      </c>
      <c r="G39" s="213">
        <v>418362000</v>
      </c>
      <c r="H39" s="213">
        <v>0</v>
      </c>
      <c r="I39" s="213">
        <v>0</v>
      </c>
      <c r="J39" s="213"/>
      <c r="K39" s="213">
        <v>215881000</v>
      </c>
      <c r="L39" s="213">
        <v>202856000</v>
      </c>
      <c r="M39" s="213">
        <v>101631000</v>
      </c>
      <c r="N39" s="213"/>
      <c r="O39" s="213"/>
      <c r="P39" s="213"/>
      <c r="Q39" s="213">
        <f>(2904933+464503)*1000</f>
        <v>3369436000</v>
      </c>
      <c r="R39" s="213">
        <f>(2912330+532968)*1000</f>
        <v>3445298000</v>
      </c>
      <c r="S39" s="213">
        <v>1614255000</v>
      </c>
      <c r="T39" s="235">
        <v>122907500</v>
      </c>
      <c r="U39" s="235">
        <v>139129026</v>
      </c>
      <c r="V39" s="235">
        <v>72297180</v>
      </c>
      <c r="W39" s="235"/>
      <c r="X39" s="235"/>
      <c r="Y39" s="235"/>
      <c r="Z39" s="235">
        <v>77250000</v>
      </c>
      <c r="AA39" s="235">
        <v>79427000</v>
      </c>
      <c r="AB39" s="235">
        <v>36734000</v>
      </c>
      <c r="AC39" s="213">
        <v>10781220462</v>
      </c>
      <c r="AD39" s="213">
        <v>11589066019</v>
      </c>
      <c r="AE39" s="213"/>
      <c r="AF39" s="209">
        <f t="shared" si="35"/>
        <v>47897356962</v>
      </c>
      <c r="AG39" s="209">
        <f t="shared" si="36"/>
        <v>50731459045</v>
      </c>
      <c r="AH39" s="209">
        <f t="shared" si="36"/>
        <v>29906291180</v>
      </c>
    </row>
    <row r="40" spans="1:34" s="224" customFormat="1" x14ac:dyDescent="0.2">
      <c r="A40" s="223" t="s">
        <v>64</v>
      </c>
      <c r="B40" s="210">
        <f t="shared" ref="B40:AG40" si="37">+B37-B38-B39</f>
        <v>-1410421000</v>
      </c>
      <c r="C40" s="210">
        <f t="shared" si="37"/>
        <v>6153065000</v>
      </c>
      <c r="D40" s="210">
        <f>+D37-D38-D39</f>
        <v>9117865000</v>
      </c>
      <c r="E40" s="210">
        <f t="shared" si="37"/>
        <v>-195868000</v>
      </c>
      <c r="F40" s="210">
        <f t="shared" si="37"/>
        <v>-500385000</v>
      </c>
      <c r="G40" s="210">
        <f t="shared" si="37"/>
        <v>-418362000</v>
      </c>
      <c r="H40" s="210">
        <f t="shared" si="37"/>
        <v>0</v>
      </c>
      <c r="I40" s="210">
        <f t="shared" si="37"/>
        <v>0</v>
      </c>
      <c r="J40" s="210"/>
      <c r="K40" s="210">
        <f t="shared" si="37"/>
        <v>-215879000</v>
      </c>
      <c r="L40" s="210">
        <f t="shared" si="37"/>
        <v>-166116000</v>
      </c>
      <c r="M40" s="210">
        <f t="shared" si="37"/>
        <v>-101631000</v>
      </c>
      <c r="N40" s="210">
        <f t="shared" si="37"/>
        <v>-4642994540</v>
      </c>
      <c r="O40" s="210">
        <f t="shared" si="37"/>
        <v>-5094239038</v>
      </c>
      <c r="P40" s="210">
        <f t="shared" si="37"/>
        <v>0</v>
      </c>
      <c r="Q40" s="210">
        <f t="shared" si="37"/>
        <v>81107974000</v>
      </c>
      <c r="R40" s="210">
        <f t="shared" si="37"/>
        <v>52147210000</v>
      </c>
      <c r="S40" s="210">
        <f t="shared" si="37"/>
        <v>18334220000</v>
      </c>
      <c r="T40" s="210">
        <f t="shared" ref="T40:AA40" si="38">+T37-T38-T39</f>
        <v>-122907500</v>
      </c>
      <c r="U40" s="210">
        <f t="shared" si="38"/>
        <v>-139129026</v>
      </c>
      <c r="V40" s="210">
        <f t="shared" si="38"/>
        <v>-72297180</v>
      </c>
      <c r="W40" s="210">
        <f t="shared" si="38"/>
        <v>0</v>
      </c>
      <c r="X40" s="210">
        <f t="shared" si="38"/>
        <v>0</v>
      </c>
      <c r="Y40" s="210">
        <f t="shared" ref="Y40" si="39">+Y37-Y38-Y39</f>
        <v>0</v>
      </c>
      <c r="Z40" s="210">
        <f t="shared" si="38"/>
        <v>-350114000</v>
      </c>
      <c r="AA40" s="210">
        <f t="shared" si="38"/>
        <v>14506823000</v>
      </c>
      <c r="AB40" s="210">
        <f>+AB37-AB38-AB39</f>
        <v>1593559000</v>
      </c>
      <c r="AC40" s="210">
        <f>+AC37-AC38-AC39</f>
        <v>151497248787</v>
      </c>
      <c r="AD40" s="210">
        <f>+AD37-AD38-AD39</f>
        <v>161138000123</v>
      </c>
      <c r="AE40" s="210">
        <f>+AE37-AE38-AE39</f>
        <v>0</v>
      </c>
      <c r="AF40" s="210">
        <f t="shared" si="37"/>
        <v>225667038747</v>
      </c>
      <c r="AG40" s="210">
        <f t="shared" si="37"/>
        <v>228045229059</v>
      </c>
      <c r="AH40" s="210">
        <f t="shared" ref="AH40" si="40">+AH37-AH38-AH39</f>
        <v>28453353820</v>
      </c>
    </row>
    <row r="41" spans="1:34" x14ac:dyDescent="0.2">
      <c r="A41" s="214" t="s">
        <v>65</v>
      </c>
      <c r="B41" s="213">
        <f>(1261+31355)*1000+2142657000</f>
        <v>2175273000</v>
      </c>
      <c r="C41" s="213">
        <f>(10060+30606)*1000+1353089000</f>
        <v>1393755000</v>
      </c>
      <c r="D41" s="213">
        <f>354785000+2181000+13506000</f>
        <v>370472000</v>
      </c>
      <c r="E41" s="213">
        <f>54*1000</f>
        <v>54000</v>
      </c>
      <c r="F41" s="213">
        <f>2*1000</f>
        <v>2000</v>
      </c>
      <c r="G41" s="213">
        <v>1000</v>
      </c>
      <c r="H41" s="213">
        <v>0</v>
      </c>
      <c r="I41" s="213">
        <v>0</v>
      </c>
      <c r="J41" s="213"/>
      <c r="K41" s="213">
        <v>30404000</v>
      </c>
      <c r="L41" s="213">
        <v>132409000</v>
      </c>
      <c r="M41" s="213">
        <f>2000+12429000</f>
        <v>12431000</v>
      </c>
      <c r="N41" s="213"/>
      <c r="O41" s="213">
        <v>2892061</v>
      </c>
      <c r="P41" s="213"/>
      <c r="Q41" s="213">
        <f>105708000+1007512000</f>
        <v>1113220000</v>
      </c>
      <c r="R41" s="213">
        <f>205172000+1664235000</f>
        <v>1869407000</v>
      </c>
      <c r="S41" s="213">
        <v>2593167000</v>
      </c>
      <c r="T41" s="235">
        <v>729585</v>
      </c>
      <c r="U41" s="235">
        <v>582793</v>
      </c>
      <c r="V41" s="235">
        <v>1788463</v>
      </c>
      <c r="W41" s="235"/>
      <c r="X41" s="235"/>
      <c r="Y41" s="235"/>
      <c r="Z41" s="235">
        <v>178379000</v>
      </c>
      <c r="AA41" s="235"/>
      <c r="AB41" s="235">
        <v>113426000</v>
      </c>
      <c r="AC41" s="213"/>
      <c r="AD41" s="213"/>
      <c r="AE41" s="213"/>
      <c r="AF41" s="209">
        <f t="shared" ref="AF41:AF42" si="41">+B41+E41+H41+K41+N41+Q41+T41+W41+Z41+AC41</f>
        <v>3498059585</v>
      </c>
      <c r="AG41" s="209">
        <f t="shared" ref="AG41:AH42" si="42">+C41+F41+I41+L41+O41+R41+U41+X41+AA41+AD41</f>
        <v>3399047854</v>
      </c>
      <c r="AH41" s="209">
        <f t="shared" si="42"/>
        <v>3091285463</v>
      </c>
    </row>
    <row r="42" spans="1:34" x14ac:dyDescent="0.2">
      <c r="A42" s="214" t="s">
        <v>66</v>
      </c>
      <c r="B42" s="213">
        <f>(123289+2559446+2634997)*1000</f>
        <v>5317732000</v>
      </c>
      <c r="C42" s="213">
        <f>(315481+3536638+886677)*1000</f>
        <v>4738796000</v>
      </c>
      <c r="D42" s="213">
        <f>91192000+11037310000</f>
        <v>11128502000</v>
      </c>
      <c r="E42" s="213">
        <f>(314053+24934)*1000</f>
        <v>338987000</v>
      </c>
      <c r="F42" s="213">
        <f>(308697+7499)*1000</f>
        <v>316196000</v>
      </c>
      <c r="G42" s="213">
        <f>278549000+5429000</f>
        <v>283978000</v>
      </c>
      <c r="H42" s="213">
        <v>0</v>
      </c>
      <c r="I42" s="213">
        <v>0</v>
      </c>
      <c r="J42" s="213"/>
      <c r="K42" s="213">
        <f>2431000+136348000</f>
        <v>138779000</v>
      </c>
      <c r="L42" s="213">
        <f>282000+15057000</f>
        <v>15339000</v>
      </c>
      <c r="M42" s="213">
        <v>48782000</v>
      </c>
      <c r="N42" s="213">
        <f>192845175+25611416</f>
        <v>218456591</v>
      </c>
      <c r="O42" s="213">
        <f>196714412+24074572</f>
        <v>220788984</v>
      </c>
      <c r="P42" s="213"/>
      <c r="Q42" s="213"/>
      <c r="R42" s="213"/>
      <c r="S42" s="213">
        <v>1587021000</v>
      </c>
      <c r="T42" s="235">
        <f>28380240</f>
        <v>28380240</v>
      </c>
      <c r="U42" s="235">
        <v>31273953</v>
      </c>
      <c r="V42" s="235">
        <v>15502966</v>
      </c>
      <c r="W42" s="235"/>
      <c r="X42" s="235"/>
      <c r="Y42" s="235"/>
      <c r="Z42" s="235">
        <f>(159743+61425)*1000</f>
        <v>221168000</v>
      </c>
      <c r="AA42" s="235">
        <f>(456762+4208+739542)*1000</f>
        <v>1200512000</v>
      </c>
      <c r="AB42" s="235">
        <f>2231000+343335000</f>
        <v>345566000</v>
      </c>
      <c r="AC42" s="213"/>
      <c r="AD42" s="213"/>
      <c r="AE42" s="213"/>
      <c r="AF42" s="209">
        <f t="shared" si="41"/>
        <v>6263502831</v>
      </c>
      <c r="AG42" s="209">
        <f t="shared" si="42"/>
        <v>6522905937</v>
      </c>
      <c r="AH42" s="209">
        <f t="shared" si="42"/>
        <v>13409351966</v>
      </c>
    </row>
    <row r="43" spans="1:34" s="224" customFormat="1" x14ac:dyDescent="0.2">
      <c r="A43" s="223" t="s">
        <v>67</v>
      </c>
      <c r="B43" s="210">
        <f t="shared" ref="B43:AG43" si="43">+B40+B41-B42</f>
        <v>-4552880000</v>
      </c>
      <c r="C43" s="210">
        <f t="shared" si="43"/>
        <v>2808024000</v>
      </c>
      <c r="D43" s="210">
        <f>+D40+D41-D42</f>
        <v>-1640165000</v>
      </c>
      <c r="E43" s="210">
        <f t="shared" si="43"/>
        <v>-534801000</v>
      </c>
      <c r="F43" s="210">
        <f t="shared" si="43"/>
        <v>-816579000</v>
      </c>
      <c r="G43" s="210">
        <f t="shared" si="43"/>
        <v>-702339000</v>
      </c>
      <c r="H43" s="210">
        <f t="shared" si="43"/>
        <v>0</v>
      </c>
      <c r="I43" s="210">
        <f t="shared" si="43"/>
        <v>0</v>
      </c>
      <c r="J43" s="210"/>
      <c r="K43" s="210">
        <f t="shared" si="43"/>
        <v>-324254000</v>
      </c>
      <c r="L43" s="210">
        <f t="shared" si="43"/>
        <v>-49046000</v>
      </c>
      <c r="M43" s="210">
        <f t="shared" si="43"/>
        <v>-137982000</v>
      </c>
      <c r="N43" s="210">
        <f t="shared" si="43"/>
        <v>-4861451131</v>
      </c>
      <c r="O43" s="210">
        <f t="shared" si="43"/>
        <v>-5312135961</v>
      </c>
      <c r="P43" s="210">
        <f t="shared" si="43"/>
        <v>0</v>
      </c>
      <c r="Q43" s="210">
        <f t="shared" si="43"/>
        <v>82221194000</v>
      </c>
      <c r="R43" s="210">
        <f t="shared" si="43"/>
        <v>54016617000</v>
      </c>
      <c r="S43" s="210">
        <f t="shared" si="43"/>
        <v>19340366000</v>
      </c>
      <c r="T43" s="210">
        <f t="shared" ref="T43:AA43" si="44">+T40+T41-T42</f>
        <v>-150558155</v>
      </c>
      <c r="U43" s="210">
        <f t="shared" si="44"/>
        <v>-169820186</v>
      </c>
      <c r="V43" s="210">
        <f t="shared" si="44"/>
        <v>-86011683</v>
      </c>
      <c r="W43" s="210">
        <f t="shared" si="44"/>
        <v>0</v>
      </c>
      <c r="X43" s="210">
        <f t="shared" si="44"/>
        <v>0</v>
      </c>
      <c r="Y43" s="210">
        <f t="shared" ref="Y43" si="45">+Y40+Y41-Y42</f>
        <v>0</v>
      </c>
      <c r="Z43" s="210">
        <f t="shared" si="44"/>
        <v>-392903000</v>
      </c>
      <c r="AA43" s="210">
        <f t="shared" si="44"/>
        <v>13306311000</v>
      </c>
      <c r="AB43" s="210">
        <f>+AB40+AB41-AB42</f>
        <v>1361419000</v>
      </c>
      <c r="AC43" s="210">
        <f>+AC40+AC41-AC42</f>
        <v>151497248787</v>
      </c>
      <c r="AD43" s="210">
        <f>+AD40+AD41-AD42</f>
        <v>161138000123</v>
      </c>
      <c r="AE43" s="210">
        <f>+AE40+AE41-AE42</f>
        <v>0</v>
      </c>
      <c r="AF43" s="210">
        <f t="shared" si="43"/>
        <v>222901595501</v>
      </c>
      <c r="AG43" s="210">
        <f t="shared" si="43"/>
        <v>224921370976</v>
      </c>
      <c r="AH43" s="210">
        <f t="shared" ref="AH43" si="46">+AH40+AH41-AH42</f>
        <v>18135287317</v>
      </c>
    </row>
    <row r="44" spans="1:34" x14ac:dyDescent="0.2">
      <c r="A44" s="214" t="s">
        <v>68</v>
      </c>
      <c r="B44" s="235">
        <v>-3501983000</v>
      </c>
      <c r="C44" s="235">
        <v>-3074187000</v>
      </c>
      <c r="D44" s="235">
        <v>-5969449000</v>
      </c>
      <c r="E44" s="235">
        <f>6820*1000</f>
        <v>6820000</v>
      </c>
      <c r="F44" s="235">
        <f>-22071*1000</f>
        <v>-22071000</v>
      </c>
      <c r="G44" s="235">
        <v>-19682000</v>
      </c>
      <c r="H44" s="213">
        <v>0</v>
      </c>
      <c r="I44" s="213">
        <v>0</v>
      </c>
      <c r="J44" s="213"/>
      <c r="K44" s="235"/>
      <c r="L44" s="235"/>
      <c r="M44" s="235"/>
      <c r="N44" s="235"/>
      <c r="O44" s="235"/>
      <c r="P44" s="235"/>
      <c r="Q44" s="235">
        <v>-426270000</v>
      </c>
      <c r="R44" s="235">
        <v>-362127000</v>
      </c>
      <c r="S44" s="235"/>
      <c r="T44" s="235"/>
      <c r="U44" s="235"/>
      <c r="V44" s="235"/>
      <c r="W44" s="235"/>
      <c r="X44" s="235"/>
      <c r="Y44" s="235"/>
      <c r="Z44" s="235"/>
      <c r="AA44" s="235"/>
      <c r="AB44" s="235"/>
      <c r="AC44" s="235">
        <v>-5963975843</v>
      </c>
      <c r="AD44" s="235">
        <v>-2680901000</v>
      </c>
      <c r="AE44" s="235"/>
      <c r="AF44" s="209">
        <f t="shared" ref="AF44" si="47">+B44+E44+H44+K44+N44+Q44+T44+W44+Z44+AC44</f>
        <v>-9885408843</v>
      </c>
      <c r="AG44" s="209">
        <f t="shared" ref="AG44:AH44" si="48">+C44+F44+I44+L44+O44+R44+U44+X44+AA44+AD44</f>
        <v>-6139286000</v>
      </c>
      <c r="AH44" s="209">
        <f t="shared" si="48"/>
        <v>-5989131000</v>
      </c>
    </row>
    <row r="45" spans="1:34" s="224" customFormat="1" x14ac:dyDescent="0.2">
      <c r="A45" s="223" t="s">
        <v>69</v>
      </c>
      <c r="B45" s="210">
        <f t="shared" ref="B45:AG45" si="49">+B43+B44</f>
        <v>-8054863000</v>
      </c>
      <c r="C45" s="210">
        <f t="shared" si="49"/>
        <v>-266163000</v>
      </c>
      <c r="D45" s="210">
        <f>+D43+D44</f>
        <v>-7609614000</v>
      </c>
      <c r="E45" s="210">
        <f t="shared" si="49"/>
        <v>-527981000</v>
      </c>
      <c r="F45" s="210">
        <f t="shared" si="49"/>
        <v>-838650000</v>
      </c>
      <c r="G45" s="210">
        <f t="shared" si="49"/>
        <v>-722021000</v>
      </c>
      <c r="H45" s="210">
        <f t="shared" si="49"/>
        <v>0</v>
      </c>
      <c r="I45" s="210">
        <f t="shared" si="49"/>
        <v>0</v>
      </c>
      <c r="J45" s="210"/>
      <c r="K45" s="210">
        <f t="shared" si="49"/>
        <v>-324254000</v>
      </c>
      <c r="L45" s="210">
        <f t="shared" si="49"/>
        <v>-49046000</v>
      </c>
      <c r="M45" s="210">
        <f t="shared" ref="M45" si="50">+M43+M44</f>
        <v>-137982000</v>
      </c>
      <c r="N45" s="210">
        <f t="shared" si="49"/>
        <v>-4861451131</v>
      </c>
      <c r="O45" s="210">
        <f t="shared" si="49"/>
        <v>-5312135961</v>
      </c>
      <c r="P45" s="210">
        <f t="shared" si="49"/>
        <v>0</v>
      </c>
      <c r="Q45" s="210">
        <f t="shared" si="49"/>
        <v>81794924000</v>
      </c>
      <c r="R45" s="210">
        <f t="shared" si="49"/>
        <v>53654490000</v>
      </c>
      <c r="S45" s="210">
        <f t="shared" si="49"/>
        <v>19340366000</v>
      </c>
      <c r="T45" s="210">
        <f t="shared" ref="T45:AA45" si="51">+T43+T44</f>
        <v>-150558155</v>
      </c>
      <c r="U45" s="210">
        <f t="shared" si="51"/>
        <v>-169820186</v>
      </c>
      <c r="V45" s="210">
        <f t="shared" si="51"/>
        <v>-86011683</v>
      </c>
      <c r="W45" s="210">
        <f t="shared" si="51"/>
        <v>0</v>
      </c>
      <c r="X45" s="210">
        <f t="shared" si="51"/>
        <v>0</v>
      </c>
      <c r="Y45" s="210">
        <f t="shared" ref="Y45" si="52">+Y43+Y44</f>
        <v>0</v>
      </c>
      <c r="Z45" s="210">
        <f t="shared" si="51"/>
        <v>-392903000</v>
      </c>
      <c r="AA45" s="210">
        <f t="shared" si="51"/>
        <v>13306311000</v>
      </c>
      <c r="AB45" s="210">
        <f>+AB43+AB44</f>
        <v>1361419000</v>
      </c>
      <c r="AC45" s="210">
        <f>+AC43+AC44</f>
        <v>145533272944</v>
      </c>
      <c r="AD45" s="210">
        <f>+AD43+AD44</f>
        <v>158457099123</v>
      </c>
      <c r="AE45" s="210">
        <f>+AE43+AE44</f>
        <v>0</v>
      </c>
      <c r="AF45" s="210">
        <f t="shared" si="49"/>
        <v>213016186658</v>
      </c>
      <c r="AG45" s="210">
        <f t="shared" si="49"/>
        <v>218782084976</v>
      </c>
      <c r="AH45" s="210">
        <f t="shared" ref="AH45" si="53">+AH43+AH44</f>
        <v>12146156317</v>
      </c>
    </row>
    <row r="46" spans="1:34" x14ac:dyDescent="0.2">
      <c r="A46" s="214" t="s">
        <v>98</v>
      </c>
      <c r="B46" s="235"/>
      <c r="C46" s="235"/>
      <c r="D46" s="235"/>
      <c r="E46" s="235"/>
      <c r="F46" s="235"/>
      <c r="G46" s="235"/>
      <c r="H46" s="213">
        <v>0</v>
      </c>
      <c r="I46" s="213">
        <v>0</v>
      </c>
      <c r="J46" s="213"/>
      <c r="K46" s="235"/>
      <c r="L46" s="235"/>
      <c r="M46" s="235"/>
      <c r="N46" s="235"/>
      <c r="O46" s="235"/>
      <c r="P46" s="235"/>
      <c r="Q46" s="235">
        <v>12370062000</v>
      </c>
      <c r="R46" s="235">
        <v>-18621762000</v>
      </c>
      <c r="S46" s="235"/>
      <c r="T46" s="235"/>
      <c r="U46" s="235"/>
      <c r="V46" s="235"/>
      <c r="W46" s="235"/>
      <c r="X46" s="235"/>
      <c r="Y46" s="235"/>
      <c r="Z46" s="235">
        <v>8379527000</v>
      </c>
      <c r="AA46" s="235">
        <v>-11341091000</v>
      </c>
      <c r="AB46" s="235">
        <v>11639617000</v>
      </c>
      <c r="AC46" s="235"/>
      <c r="AD46" s="235"/>
      <c r="AE46" s="235"/>
      <c r="AF46" s="209">
        <f t="shared" ref="AF46" si="54">+B46+E46+H46+K46+N46+Q46+T46+W46+Z46+AC46</f>
        <v>20749589000</v>
      </c>
      <c r="AG46" s="209">
        <f t="shared" ref="AG46:AH46" si="55">+C46+F46+I46+L46+O46+R46+U46+X46+AA46+AD46</f>
        <v>-29962853000</v>
      </c>
      <c r="AH46" s="209">
        <f t="shared" si="55"/>
        <v>11639617000</v>
      </c>
    </row>
    <row r="47" spans="1:34" s="224" customFormat="1" x14ac:dyDescent="0.2">
      <c r="A47" s="223" t="s">
        <v>183</v>
      </c>
      <c r="B47" s="210">
        <f t="shared" ref="B47:L47" si="56">+B45+B46</f>
        <v>-8054863000</v>
      </c>
      <c r="C47" s="210">
        <f t="shared" si="56"/>
        <v>-266163000</v>
      </c>
      <c r="D47" s="210">
        <f>+D45+D46</f>
        <v>-7609614000</v>
      </c>
      <c r="E47" s="210">
        <f t="shared" si="56"/>
        <v>-527981000</v>
      </c>
      <c r="F47" s="210">
        <f t="shared" si="56"/>
        <v>-838650000</v>
      </c>
      <c r="G47" s="210">
        <f t="shared" si="56"/>
        <v>-722021000</v>
      </c>
      <c r="H47" s="210">
        <f t="shared" si="56"/>
        <v>0</v>
      </c>
      <c r="I47" s="210">
        <f t="shared" si="56"/>
        <v>0</v>
      </c>
      <c r="J47" s="210"/>
      <c r="K47" s="210">
        <f t="shared" si="56"/>
        <v>-324254000</v>
      </c>
      <c r="L47" s="210">
        <f t="shared" si="56"/>
        <v>-49046000</v>
      </c>
      <c r="M47" s="210">
        <f t="shared" ref="M47" si="57">+M45+M46</f>
        <v>-137982000</v>
      </c>
      <c r="N47" s="210"/>
      <c r="O47" s="210"/>
      <c r="P47" s="210"/>
      <c r="Q47" s="210">
        <f t="shared" ref="Q47:AG47" si="58">+Q45+Q46</f>
        <v>94164986000</v>
      </c>
      <c r="R47" s="210">
        <f t="shared" si="58"/>
        <v>35032728000</v>
      </c>
      <c r="S47" s="210">
        <f t="shared" si="58"/>
        <v>19340366000</v>
      </c>
      <c r="T47" s="210">
        <f t="shared" si="58"/>
        <v>-150558155</v>
      </c>
      <c r="U47" s="210">
        <f t="shared" si="58"/>
        <v>-169820186</v>
      </c>
      <c r="V47" s="210">
        <f t="shared" si="58"/>
        <v>-86011683</v>
      </c>
      <c r="W47" s="210">
        <f t="shared" si="58"/>
        <v>0</v>
      </c>
      <c r="X47" s="210">
        <f t="shared" si="58"/>
        <v>0</v>
      </c>
      <c r="Y47" s="210">
        <f t="shared" ref="Y47" si="59">+Y45+Y46</f>
        <v>0</v>
      </c>
      <c r="Z47" s="210">
        <f t="shared" si="58"/>
        <v>7986624000</v>
      </c>
      <c r="AA47" s="210">
        <f t="shared" si="58"/>
        <v>1965220000</v>
      </c>
      <c r="AB47" s="210">
        <f>+AB45+AB46</f>
        <v>13001036000</v>
      </c>
      <c r="AC47" s="210">
        <f>+AC45+AC46</f>
        <v>145533272944</v>
      </c>
      <c r="AD47" s="210">
        <f>+AD45+AD46</f>
        <v>158457099123</v>
      </c>
      <c r="AE47" s="210">
        <f>+AE45+AE46</f>
        <v>0</v>
      </c>
      <c r="AF47" s="210">
        <f t="shared" si="58"/>
        <v>233765775658</v>
      </c>
      <c r="AG47" s="210">
        <f t="shared" si="58"/>
        <v>188819231976</v>
      </c>
      <c r="AH47" s="210">
        <f t="shared" ref="AH47" si="60">+AH45+AH46</f>
        <v>23785773317</v>
      </c>
    </row>
    <row r="48" spans="1:34" s="216" customFormat="1" x14ac:dyDescent="0.2">
      <c r="A48" s="238"/>
      <c r="B48" s="240"/>
      <c r="C48" s="240"/>
      <c r="D48" s="240"/>
      <c r="E48" s="240"/>
      <c r="F48" s="240"/>
      <c r="G48" s="240"/>
      <c r="H48" s="240"/>
      <c r="I48" s="240"/>
      <c r="J48" s="240"/>
      <c r="K48" s="240"/>
      <c r="L48" s="240"/>
      <c r="M48" s="240"/>
      <c r="N48" s="240"/>
      <c r="O48" s="240"/>
      <c r="P48" s="240"/>
      <c r="Q48" s="240"/>
      <c r="R48" s="240"/>
      <c r="S48" s="298"/>
      <c r="T48" s="238"/>
      <c r="U48" s="238"/>
      <c r="V48" s="238"/>
      <c r="W48" s="240"/>
      <c r="X48" s="240"/>
      <c r="Y48" s="240"/>
      <c r="Z48" s="240"/>
      <c r="AA48" s="240"/>
      <c r="AB48" s="240"/>
      <c r="AC48" s="240"/>
      <c r="AD48" s="240"/>
      <c r="AE48" s="240"/>
      <c r="AF48" s="240"/>
      <c r="AG48" s="240"/>
      <c r="AH48" s="240"/>
    </row>
    <row r="49" spans="1:34" s="216" customFormat="1" x14ac:dyDescent="0.2">
      <c r="A49" s="238" t="s">
        <v>99</v>
      </c>
      <c r="B49" s="241">
        <f t="shared" ref="B49:AG49" si="61">+B12-B33</f>
        <v>0</v>
      </c>
      <c r="C49" s="241">
        <f t="shared" si="61"/>
        <v>0</v>
      </c>
      <c r="D49" s="241">
        <f>+D12-D33</f>
        <v>0</v>
      </c>
      <c r="E49" s="241">
        <f t="shared" si="61"/>
        <v>0</v>
      </c>
      <c r="F49" s="241">
        <f t="shared" si="61"/>
        <v>0</v>
      </c>
      <c r="G49" s="241">
        <f t="shared" ref="G49" si="62">+G12-G33</f>
        <v>0</v>
      </c>
      <c r="H49" s="241">
        <f t="shared" si="61"/>
        <v>0</v>
      </c>
      <c r="I49" s="241">
        <f t="shared" si="61"/>
        <v>0</v>
      </c>
      <c r="J49" s="241">
        <f t="shared" ref="J49" si="63">+J12-J33</f>
        <v>0</v>
      </c>
      <c r="K49" s="241">
        <f t="shared" si="61"/>
        <v>0</v>
      </c>
      <c r="L49" s="241">
        <f t="shared" si="61"/>
        <v>0</v>
      </c>
      <c r="M49" s="241">
        <f t="shared" ref="M49" si="64">+M12-M33</f>
        <v>0</v>
      </c>
      <c r="N49" s="241">
        <f t="shared" si="61"/>
        <v>0</v>
      </c>
      <c r="O49" s="241">
        <f t="shared" si="61"/>
        <v>0</v>
      </c>
      <c r="P49" s="241">
        <f t="shared" ref="P49" si="65">+P12-P33</f>
        <v>0</v>
      </c>
      <c r="Q49" s="241">
        <f t="shared" si="61"/>
        <v>0</v>
      </c>
      <c r="R49" s="241">
        <f t="shared" si="61"/>
        <v>0</v>
      </c>
      <c r="S49" s="241">
        <f t="shared" si="61"/>
        <v>0</v>
      </c>
      <c r="T49" s="241">
        <f t="shared" ref="T49:AA49" si="66">+T12-T33</f>
        <v>0</v>
      </c>
      <c r="U49" s="241">
        <f t="shared" si="66"/>
        <v>0</v>
      </c>
      <c r="V49" s="241">
        <f t="shared" si="66"/>
        <v>0</v>
      </c>
      <c r="W49" s="241">
        <f t="shared" si="66"/>
        <v>0</v>
      </c>
      <c r="X49" s="241">
        <f t="shared" si="66"/>
        <v>0</v>
      </c>
      <c r="Y49" s="241">
        <f t="shared" ref="Y49" si="67">+Y12-Y33</f>
        <v>0</v>
      </c>
      <c r="Z49" s="241">
        <f t="shared" si="66"/>
        <v>0</v>
      </c>
      <c r="AA49" s="241">
        <f t="shared" si="66"/>
        <v>0</v>
      </c>
      <c r="AB49" s="241">
        <f>+AB12-AB33</f>
        <v>0</v>
      </c>
      <c r="AC49" s="241">
        <f>+AC12-AC33</f>
        <v>0</v>
      </c>
      <c r="AD49" s="241">
        <f>+AD12-AD33</f>
        <v>0</v>
      </c>
      <c r="AE49" s="241">
        <f>+AE12-AE33</f>
        <v>0</v>
      </c>
      <c r="AF49" s="241">
        <f t="shared" si="61"/>
        <v>0</v>
      </c>
      <c r="AG49" s="241">
        <f t="shared" si="61"/>
        <v>0</v>
      </c>
      <c r="AH49" s="241">
        <f t="shared" ref="AH49" si="68">+AH12-AH33</f>
        <v>0</v>
      </c>
    </row>
    <row r="50" spans="1:34" s="216" customFormat="1" x14ac:dyDescent="0.2">
      <c r="A50" s="238" t="s">
        <v>100</v>
      </c>
      <c r="B50" s="241">
        <v>-8054863000</v>
      </c>
      <c r="C50" s="241">
        <v>-266163000</v>
      </c>
      <c r="D50" s="241">
        <v>-7609614000</v>
      </c>
      <c r="E50" s="241">
        <f>-527981*1000</f>
        <v>-527981000</v>
      </c>
      <c r="F50" s="241">
        <f>-838650*1000</f>
        <v>-838650000</v>
      </c>
      <c r="G50" s="241">
        <v>-722021000</v>
      </c>
      <c r="H50" s="241">
        <v>0</v>
      </c>
      <c r="I50" s="241">
        <v>0</v>
      </c>
      <c r="J50" s="241">
        <v>0</v>
      </c>
      <c r="K50" s="241">
        <v>-324254000</v>
      </c>
      <c r="L50" s="241">
        <v>-49046000</v>
      </c>
      <c r="M50" s="241">
        <v>-137982000</v>
      </c>
      <c r="N50" s="241">
        <v>-4861451131</v>
      </c>
      <c r="O50" s="241">
        <v>-5312135961</v>
      </c>
      <c r="P50" s="241"/>
      <c r="Q50" s="241">
        <v>81794924000</v>
      </c>
      <c r="R50" s="241">
        <v>53654490000</v>
      </c>
      <c r="S50" s="241">
        <v>19340366000</v>
      </c>
      <c r="T50" s="241">
        <v>-150558155</v>
      </c>
      <c r="U50" s="241">
        <v>-169820186</v>
      </c>
      <c r="V50" s="241">
        <v>-86011683</v>
      </c>
      <c r="W50" s="241">
        <v>0</v>
      </c>
      <c r="X50" s="241">
        <v>0</v>
      </c>
      <c r="Y50" s="241">
        <v>0</v>
      </c>
      <c r="Z50" s="241">
        <v>-392903000</v>
      </c>
      <c r="AA50" s="241">
        <v>13306311000</v>
      </c>
      <c r="AB50" s="241">
        <v>1361419000</v>
      </c>
      <c r="AC50" s="241">
        <v>145533272944</v>
      </c>
      <c r="AD50" s="241">
        <v>158457099123</v>
      </c>
      <c r="AE50" s="241"/>
      <c r="AF50" s="241">
        <v>213016186658</v>
      </c>
      <c r="AG50" s="241">
        <v>218782084976</v>
      </c>
      <c r="AH50" s="241">
        <v>12146156317</v>
      </c>
    </row>
    <row r="51" spans="1:34" s="216" customFormat="1" x14ac:dyDescent="0.2">
      <c r="A51" s="238" t="s">
        <v>101</v>
      </c>
      <c r="B51" s="241">
        <f>+B47-B50</f>
        <v>0</v>
      </c>
      <c r="C51" s="241">
        <f>+C47-C50</f>
        <v>0</v>
      </c>
      <c r="D51" s="241">
        <f>+D47-D50</f>
        <v>0</v>
      </c>
      <c r="E51" s="241">
        <f t="shared" ref="E51:AG51" si="69">+E45-E50</f>
        <v>0</v>
      </c>
      <c r="F51" s="241">
        <f t="shared" si="69"/>
        <v>0</v>
      </c>
      <c r="G51" s="241">
        <f t="shared" ref="G51" si="70">+G45-G50</f>
        <v>0</v>
      </c>
      <c r="H51" s="241">
        <f t="shared" si="69"/>
        <v>0</v>
      </c>
      <c r="I51" s="241">
        <f t="shared" si="69"/>
        <v>0</v>
      </c>
      <c r="J51" s="241">
        <f t="shared" ref="J51" si="71">+J45-J50</f>
        <v>0</v>
      </c>
      <c r="K51" s="241">
        <f t="shared" si="69"/>
        <v>0</v>
      </c>
      <c r="L51" s="241">
        <f t="shared" si="69"/>
        <v>0</v>
      </c>
      <c r="M51" s="241">
        <f t="shared" ref="M51" si="72">+M45-M50</f>
        <v>0</v>
      </c>
      <c r="N51" s="241">
        <f t="shared" si="69"/>
        <v>0</v>
      </c>
      <c r="O51" s="241">
        <f t="shared" si="69"/>
        <v>0</v>
      </c>
      <c r="P51" s="241">
        <f t="shared" ref="P51" si="73">+P45-P50</f>
        <v>0</v>
      </c>
      <c r="Q51" s="241">
        <f t="shared" si="69"/>
        <v>0</v>
      </c>
      <c r="R51" s="241">
        <f t="shared" si="69"/>
        <v>0</v>
      </c>
      <c r="S51" s="241">
        <f t="shared" si="69"/>
        <v>0</v>
      </c>
      <c r="T51" s="241">
        <f t="shared" ref="T51:AA51" si="74">+T45-T50</f>
        <v>0</v>
      </c>
      <c r="U51" s="241">
        <f t="shared" si="74"/>
        <v>0</v>
      </c>
      <c r="V51" s="241">
        <f t="shared" si="74"/>
        <v>0</v>
      </c>
      <c r="W51" s="241">
        <f t="shared" si="74"/>
        <v>0</v>
      </c>
      <c r="X51" s="241">
        <f t="shared" si="74"/>
        <v>0</v>
      </c>
      <c r="Y51" s="241">
        <f t="shared" ref="Y51" si="75">+Y45-Y50</f>
        <v>0</v>
      </c>
      <c r="Z51" s="241">
        <f t="shared" si="74"/>
        <v>0</v>
      </c>
      <c r="AA51" s="241">
        <f t="shared" si="74"/>
        <v>0</v>
      </c>
      <c r="AB51" s="241">
        <f>+AB45-AB50</f>
        <v>0</v>
      </c>
      <c r="AC51" s="241">
        <f>+AC45-AC50</f>
        <v>0</v>
      </c>
      <c r="AD51" s="241">
        <f>+AD45-AD50</f>
        <v>0</v>
      </c>
      <c r="AE51" s="241">
        <f>+AE45-AE50</f>
        <v>0</v>
      </c>
      <c r="AF51" s="241">
        <f t="shared" si="69"/>
        <v>0</v>
      </c>
      <c r="AG51" s="241">
        <f t="shared" si="69"/>
        <v>0</v>
      </c>
      <c r="AH51" s="241">
        <f t="shared" ref="AH51" si="76">+AH45-AH50</f>
        <v>0</v>
      </c>
    </row>
    <row r="53" spans="1:34" s="238" customFormat="1" x14ac:dyDescent="0.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row>
    <row r="54" spans="1:34" s="238" customFormat="1" x14ac:dyDescent="0.2">
      <c r="B54" s="232"/>
      <c r="C54" s="232"/>
      <c r="D54" s="232"/>
      <c r="E54" s="232"/>
      <c r="F54" s="232"/>
      <c r="G54" s="232"/>
      <c r="H54" s="232"/>
      <c r="I54" s="232"/>
      <c r="J54" s="232"/>
      <c r="K54" s="232"/>
      <c r="L54" s="232"/>
      <c r="M54" s="232"/>
      <c r="N54" s="232"/>
      <c r="O54" s="232"/>
      <c r="P54" s="232"/>
      <c r="Q54" s="232"/>
      <c r="R54" s="232"/>
      <c r="S54" s="232"/>
      <c r="T54" s="232"/>
      <c r="U54" s="232"/>
      <c r="V54" s="232"/>
      <c r="W54" s="232" t="s">
        <v>324</v>
      </c>
      <c r="X54" s="232"/>
      <c r="Y54" s="232"/>
      <c r="Z54" s="232"/>
      <c r="AA54" s="232"/>
      <c r="AB54" s="232"/>
      <c r="AC54" s="232"/>
      <c r="AD54" s="232"/>
      <c r="AE54" s="232"/>
      <c r="AF54" s="232"/>
      <c r="AG54" s="232"/>
      <c r="AH54" s="232"/>
    </row>
    <row r="55" spans="1:34" ht="15" x14ac:dyDescent="0.2">
      <c r="A55" s="306" t="s">
        <v>196</v>
      </c>
    </row>
    <row r="57" spans="1:34" x14ac:dyDescent="0.2">
      <c r="A57" s="207" t="s">
        <v>105</v>
      </c>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row>
    <row r="58" spans="1:34" ht="24" x14ac:dyDescent="0.2">
      <c r="A58" s="249" t="s">
        <v>195</v>
      </c>
      <c r="B58" s="206">
        <f t="shared" ref="B58:AG58" si="77">IFERROR(B10/B14,0)</f>
        <v>1.0664857472729352</v>
      </c>
      <c r="C58" s="206">
        <f t="shared" si="77"/>
        <v>3.0068787556418024</v>
      </c>
      <c r="D58" s="206">
        <f t="shared" ref="D58" si="78">IFERROR(D10/D14,0)</f>
        <v>2.9074634687200622</v>
      </c>
      <c r="E58" s="206">
        <f t="shared" si="77"/>
        <v>2.5945984737937469</v>
      </c>
      <c r="F58" s="206">
        <f t="shared" si="77"/>
        <v>0.62785340824609082</v>
      </c>
      <c r="G58" s="206">
        <f t="shared" si="77"/>
        <v>1.3894639588002806</v>
      </c>
      <c r="H58" s="206">
        <f t="shared" si="77"/>
        <v>0.93684956209323933</v>
      </c>
      <c r="I58" s="206">
        <f t="shared" si="77"/>
        <v>0.83724090220795322</v>
      </c>
      <c r="J58" s="206">
        <f t="shared" ref="J58" si="79">IFERROR(J10/J14,0)</f>
        <v>1.0063081029755336</v>
      </c>
      <c r="K58" s="206">
        <f t="shared" si="77"/>
        <v>0.6877903304712385</v>
      </c>
      <c r="L58" s="206">
        <f t="shared" si="77"/>
        <v>0.44197433133095265</v>
      </c>
      <c r="M58" s="206">
        <f t="shared" si="77"/>
        <v>0.18307263312748823</v>
      </c>
      <c r="N58" s="206">
        <f t="shared" si="77"/>
        <v>24.983277216190832</v>
      </c>
      <c r="O58" s="206">
        <f t="shared" si="77"/>
        <v>2.9954588468779404</v>
      </c>
      <c r="P58" s="206">
        <f t="shared" si="77"/>
        <v>1.006086301937654</v>
      </c>
      <c r="Q58" s="206">
        <f t="shared" si="77"/>
        <v>8.1522981461466539</v>
      </c>
      <c r="R58" s="206">
        <f t="shared" si="77"/>
        <v>6.2684953993323003</v>
      </c>
      <c r="S58" s="206">
        <f t="shared" ref="S58" si="80">IFERROR(S10/S14,0)</f>
        <v>5.452504715448522</v>
      </c>
      <c r="T58" s="206">
        <f t="shared" si="77"/>
        <v>276.15858557692309</v>
      </c>
      <c r="U58" s="206">
        <f t="shared" si="77"/>
        <v>30.059927928778681</v>
      </c>
      <c r="V58" s="206">
        <f t="shared" si="77"/>
        <v>20.971070411374484</v>
      </c>
      <c r="W58" s="206">
        <f t="shared" si="77"/>
        <v>0</v>
      </c>
      <c r="X58" s="206">
        <f t="shared" si="77"/>
        <v>0</v>
      </c>
      <c r="Y58" s="206">
        <f t="shared" ref="Y58" si="81">IFERROR(Y10/Y14,0)</f>
        <v>0</v>
      </c>
      <c r="Z58" s="206">
        <f t="shared" si="77"/>
        <v>3.022192848241688</v>
      </c>
      <c r="AA58" s="206">
        <f t="shared" si="77"/>
        <v>4.9860566742648098</v>
      </c>
      <c r="AB58" s="206">
        <f t="shared" si="77"/>
        <v>6.4368349318584626</v>
      </c>
      <c r="AC58" s="206">
        <f>IFERROR(AC10/AC14,0)</f>
        <v>1.0005866705148188</v>
      </c>
      <c r="AD58" s="206">
        <f>IFERROR(AD10/AD14,0)</f>
        <v>1.0011615238494005</v>
      </c>
      <c r="AE58" s="206">
        <f t="shared" ref="AE58" si="82">IFERROR(AE10/AE14,0)</f>
        <v>1.0000474505837262</v>
      </c>
      <c r="AF58" s="206">
        <f t="shared" si="77"/>
        <v>2.2846360246883441</v>
      </c>
      <c r="AG58" s="206">
        <f t="shared" si="77"/>
        <v>4.0907811351815218</v>
      </c>
      <c r="AH58" s="206">
        <f t="shared" ref="AH58" si="83">IFERROR(AH10/AH14,0)</f>
        <v>2.1921146056275305</v>
      </c>
    </row>
    <row r="59" spans="1:34" x14ac:dyDescent="0.2">
      <c r="A59" s="207" t="s">
        <v>106</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row>
    <row r="60" spans="1:34" x14ac:dyDescent="0.2">
      <c r="A60" s="96" t="s">
        <v>74</v>
      </c>
      <c r="B60" s="87">
        <f t="shared" ref="B60:AG60" si="84">IFERROR(B14/B16,0)</f>
        <v>0.76826513401667951</v>
      </c>
      <c r="C60" s="87">
        <f t="shared" si="84"/>
        <v>0.54112348713443403</v>
      </c>
      <c r="D60" s="87">
        <f t="shared" ref="D60" si="85">IFERROR(D14/D16,0)</f>
        <v>0.66486671112696771</v>
      </c>
      <c r="E60" s="87">
        <f t="shared" si="84"/>
        <v>0.29228574824676096</v>
      </c>
      <c r="F60" s="87">
        <f t="shared" si="84"/>
        <v>0.44770801390306053</v>
      </c>
      <c r="G60" s="87">
        <f t="shared" si="84"/>
        <v>0.36606018851971317</v>
      </c>
      <c r="H60" s="87">
        <f t="shared" si="84"/>
        <v>1</v>
      </c>
      <c r="I60" s="87">
        <f t="shared" si="84"/>
        <v>1</v>
      </c>
      <c r="J60" s="87">
        <f t="shared" ref="J60" si="86">IFERROR(J14/J16,0)</f>
        <v>1</v>
      </c>
      <c r="K60" s="87">
        <f t="shared" si="84"/>
        <v>1</v>
      </c>
      <c r="L60" s="87">
        <f t="shared" si="84"/>
        <v>1</v>
      </c>
      <c r="M60" s="87">
        <f t="shared" ref="M60" si="87">IFERROR(M14/M16,0)</f>
        <v>1</v>
      </c>
      <c r="N60" s="87">
        <f t="shared" si="84"/>
        <v>4.027588634596603E-2</v>
      </c>
      <c r="O60" s="87">
        <f t="shared" si="84"/>
        <v>0.33492871387409229</v>
      </c>
      <c r="P60" s="87">
        <f t="shared" si="84"/>
        <v>1</v>
      </c>
      <c r="Q60" s="87">
        <f t="shared" si="84"/>
        <v>0.57150207941469866</v>
      </c>
      <c r="R60" s="87">
        <f t="shared" si="84"/>
        <v>0.53901976013158148</v>
      </c>
      <c r="S60" s="87">
        <f t="shared" ref="S60" si="88">IFERROR(S14/S16,0)</f>
        <v>0.42298986314522807</v>
      </c>
      <c r="T60" s="87">
        <f t="shared" si="84"/>
        <v>1</v>
      </c>
      <c r="U60" s="87">
        <f t="shared" si="84"/>
        <v>1</v>
      </c>
      <c r="V60" s="87">
        <f t="shared" si="84"/>
        <v>1</v>
      </c>
      <c r="W60" s="87">
        <f t="shared" si="84"/>
        <v>0</v>
      </c>
      <c r="X60" s="87">
        <f t="shared" si="84"/>
        <v>0</v>
      </c>
      <c r="Y60" s="87">
        <f t="shared" ref="Y60" si="89">IFERROR(Y14/Y16,0)</f>
        <v>0</v>
      </c>
      <c r="Z60" s="87">
        <f t="shared" si="84"/>
        <v>1</v>
      </c>
      <c r="AA60" s="87">
        <f t="shared" si="84"/>
        <v>1</v>
      </c>
      <c r="AB60" s="87">
        <f t="shared" si="84"/>
        <v>1</v>
      </c>
      <c r="AC60" s="87">
        <f>IFERROR(AC14/AC16,0)</f>
        <v>1</v>
      </c>
      <c r="AD60" s="87">
        <f>IFERROR(AD14/AD16,0)</f>
        <v>1</v>
      </c>
      <c r="AE60" s="87">
        <f t="shared" ref="AE60" si="90">IFERROR(AE14/AE16,0)</f>
        <v>1</v>
      </c>
      <c r="AF60" s="87">
        <f t="shared" si="84"/>
        <v>0.7802162712686207</v>
      </c>
      <c r="AG60" s="87">
        <f t="shared" si="84"/>
        <v>0.63417700633944973</v>
      </c>
      <c r="AH60" s="87">
        <f t="shared" ref="AH60" si="91">IFERROR(AH14/AH16,0)</f>
        <v>0.81281891632413994</v>
      </c>
    </row>
    <row r="61" spans="1:34" x14ac:dyDescent="0.2">
      <c r="A61" s="96" t="s">
        <v>75</v>
      </c>
      <c r="B61" s="86">
        <f t="shared" ref="B61:AG61" si="92">IFERROR(B16/B32,0)</f>
        <v>5.6265511789054656</v>
      </c>
      <c r="C61" s="86">
        <f t="shared" si="92"/>
        <v>0.64992653018813373</v>
      </c>
      <c r="D61" s="86">
        <f t="shared" ref="D61" si="93">IFERROR(D16/D32,0)</f>
        <v>0.61395788495460768</v>
      </c>
      <c r="E61" s="86">
        <f t="shared" si="92"/>
        <v>-4.138458867444081</v>
      </c>
      <c r="F61" s="86">
        <f t="shared" si="92"/>
        <v>-1.3910043794069205</v>
      </c>
      <c r="G61" s="86">
        <f t="shared" si="92"/>
        <v>-2.0351156714039895</v>
      </c>
      <c r="H61" s="86">
        <f t="shared" si="92"/>
        <v>43.144888025299643</v>
      </c>
      <c r="I61" s="86">
        <f t="shared" si="92"/>
        <v>28.171068884203173</v>
      </c>
      <c r="J61" s="86">
        <f t="shared" ref="J61" si="94">IFERROR(J16/J32,0)</f>
        <v>158.52626437433989</v>
      </c>
      <c r="K61" s="86">
        <f t="shared" si="92"/>
        <v>-3.2029757486671229</v>
      </c>
      <c r="L61" s="86">
        <f t="shared" si="92"/>
        <v>-1.7920322597078913</v>
      </c>
      <c r="M61" s="86">
        <f t="shared" ref="M61" si="95">IFERROR(M16/M32,0)</f>
        <v>-1.2240990332204873</v>
      </c>
      <c r="N61" s="86">
        <f t="shared" si="92"/>
        <v>160.67783657375935</v>
      </c>
      <c r="O61" s="86">
        <f t="shared" si="92"/>
        <v>306.26191869476548</v>
      </c>
      <c r="P61" s="86">
        <f t="shared" si="92"/>
        <v>164.30338327668252</v>
      </c>
      <c r="Q61" s="86">
        <f t="shared" si="92"/>
        <v>0.22036922926133415</v>
      </c>
      <c r="R61" s="86">
        <f t="shared" si="92"/>
        <v>0.32791976716130744</v>
      </c>
      <c r="S61" s="86">
        <f t="shared" ref="S61" si="96">IFERROR(S16/S32,0)</f>
        <v>0.56457308862917455</v>
      </c>
      <c r="T61" s="86">
        <f t="shared" si="92"/>
        <v>3.6342678455891426E-3</v>
      </c>
      <c r="U61" s="86">
        <f t="shared" si="92"/>
        <v>3.4411647628681083E-2</v>
      </c>
      <c r="V61" s="86">
        <f t="shared" si="92"/>
        <v>5.0072428738243892E-2</v>
      </c>
      <c r="W61" s="86">
        <f t="shared" si="92"/>
        <v>0</v>
      </c>
      <c r="X61" s="86">
        <f t="shared" si="92"/>
        <v>0</v>
      </c>
      <c r="Y61" s="86">
        <f t="shared" ref="Y61" si="97">IFERROR(Y16/Y32,0)</f>
        <v>0</v>
      </c>
      <c r="Z61" s="86">
        <f t="shared" si="92"/>
        <v>0.49451267759625772</v>
      </c>
      <c r="AA61" s="86">
        <f t="shared" si="92"/>
        <v>0.25087450623978907</v>
      </c>
      <c r="AB61" s="86">
        <f t="shared" si="92"/>
        <v>0.18393054277595511</v>
      </c>
      <c r="AC61" s="86">
        <f>IFERROR(AC16/AC32,0)</f>
        <v>1704.5342739080693</v>
      </c>
      <c r="AD61" s="86">
        <f>IFERROR(AD16/AD32,0)</f>
        <v>860.93798290598295</v>
      </c>
      <c r="AE61" s="86">
        <f t="shared" ref="AE61" si="98">IFERROR(AE16/AE32,0)</f>
        <v>21074.556337842387</v>
      </c>
      <c r="AF61" s="86">
        <f t="shared" si="92"/>
        <v>0.86602404170239788</v>
      </c>
      <c r="AG61" s="86">
        <f t="shared" si="92"/>
        <v>0.44819083866592996</v>
      </c>
      <c r="AH61" s="86">
        <f t="shared" ref="AH61" si="99">IFERROR(AH16/AH32,0)</f>
        <v>0.95198601787620085</v>
      </c>
    </row>
    <row r="62" spans="1:34" x14ac:dyDescent="0.2">
      <c r="A62" s="97" t="s">
        <v>76</v>
      </c>
      <c r="B62" s="86">
        <f t="shared" ref="B62:AG62" si="100">IFERROR(B15/B32,0)</f>
        <v>1.303868083391952</v>
      </c>
      <c r="C62" s="86">
        <f t="shared" si="100"/>
        <v>0.29823601979154779</v>
      </c>
      <c r="D62" s="86">
        <f t="shared" ref="D62" si="101">IFERROR(D15/D32,0)</f>
        <v>0.20575772521436844</v>
      </c>
      <c r="E62" s="86">
        <f t="shared" si="100"/>
        <v>-2.928846320784745</v>
      </c>
      <c r="F62" s="86">
        <f t="shared" si="100"/>
        <v>-0.76824057137218882</v>
      </c>
      <c r="G62" s="86">
        <f t="shared" si="100"/>
        <v>-1.2901408450704226</v>
      </c>
      <c r="H62" s="86">
        <f t="shared" si="100"/>
        <v>0</v>
      </c>
      <c r="I62" s="86">
        <f t="shared" si="100"/>
        <v>0</v>
      </c>
      <c r="J62" s="86">
        <f t="shared" ref="J62" si="102">IFERROR(J15/J32,0)</f>
        <v>0</v>
      </c>
      <c r="K62" s="86">
        <f t="shared" si="100"/>
        <v>0</v>
      </c>
      <c r="L62" s="86">
        <f t="shared" si="100"/>
        <v>0</v>
      </c>
      <c r="M62" s="86">
        <f t="shared" ref="M62" si="103">IFERROR(M15/M32,0)</f>
        <v>0</v>
      </c>
      <c r="N62" s="86">
        <f t="shared" si="100"/>
        <v>154.2063942895989</v>
      </c>
      <c r="O62" s="86">
        <f t="shared" si="100"/>
        <v>203.68600815771583</v>
      </c>
      <c r="P62" s="86">
        <f t="shared" si="100"/>
        <v>0</v>
      </c>
      <c r="Q62" s="86">
        <f t="shared" si="100"/>
        <v>9.4427756499467219E-2</v>
      </c>
      <c r="R62" s="86">
        <f t="shared" si="100"/>
        <v>0.15116453292361545</v>
      </c>
      <c r="S62" s="86">
        <f t="shared" ref="S62" si="104">IFERROR(S15/S32,0)</f>
        <v>0.32576439513444128</v>
      </c>
      <c r="T62" s="86">
        <f t="shared" si="100"/>
        <v>0</v>
      </c>
      <c r="U62" s="86">
        <f t="shared" si="100"/>
        <v>0</v>
      </c>
      <c r="V62" s="86">
        <f t="shared" si="100"/>
        <v>0</v>
      </c>
      <c r="W62" s="86">
        <f t="shared" si="100"/>
        <v>0</v>
      </c>
      <c r="X62" s="86">
        <f t="shared" si="100"/>
        <v>0</v>
      </c>
      <c r="Y62" s="86">
        <f t="shared" ref="Y62" si="105">IFERROR(Y15/Y32,0)</f>
        <v>0</v>
      </c>
      <c r="Z62" s="86">
        <f t="shared" si="100"/>
        <v>0</v>
      </c>
      <c r="AA62" s="86">
        <f t="shared" si="100"/>
        <v>0</v>
      </c>
      <c r="AB62" s="86">
        <f t="shared" si="100"/>
        <v>0</v>
      </c>
      <c r="AC62" s="86">
        <f>IFERROR(AC15/AC32,0)</f>
        <v>0</v>
      </c>
      <c r="AD62" s="86">
        <f>IFERROR(AD15/AD32,0)</f>
        <v>0</v>
      </c>
      <c r="AE62" s="86">
        <f t="shared" ref="AE62" si="106">IFERROR(AE15/AE32,0)</f>
        <v>0</v>
      </c>
      <c r="AF62" s="86">
        <f t="shared" si="100"/>
        <v>0.1903379930563725</v>
      </c>
      <c r="AG62" s="86">
        <f t="shared" si="100"/>
        <v>0.16395851433200323</v>
      </c>
      <c r="AH62" s="86">
        <f t="shared" ref="AH62" si="107">IFERROR(AH15/AH32,0)</f>
        <v>0.17819377447033399</v>
      </c>
    </row>
    <row r="63" spans="1:34" x14ac:dyDescent="0.2">
      <c r="A63" s="96" t="s">
        <v>77</v>
      </c>
      <c r="B63" s="86">
        <f t="shared" ref="B63:AG63" si="108">IFERROR(B16/B12,0)</f>
        <v>0.84909193741937206</v>
      </c>
      <c r="C63" s="86">
        <f t="shared" si="108"/>
        <v>0.39391240658093152</v>
      </c>
      <c r="D63" s="86">
        <f t="shared" ref="D63" si="109">IFERROR(D16/D12,0)</f>
        <v>0.38040514605613462</v>
      </c>
      <c r="E63" s="86">
        <f t="shared" si="108"/>
        <v>1.318627722151537</v>
      </c>
      <c r="F63" s="86">
        <f t="shared" si="108"/>
        <v>3.5575161114993401</v>
      </c>
      <c r="G63" s="86">
        <f t="shared" si="108"/>
        <v>1.9660756064524074</v>
      </c>
      <c r="H63" s="86">
        <f t="shared" si="108"/>
        <v>0.97734732050001139</v>
      </c>
      <c r="I63" s="86">
        <f t="shared" si="108"/>
        <v>0.96571945978498153</v>
      </c>
      <c r="J63" s="86">
        <f t="shared" ref="J63" si="110">IFERROR(J16/J12,0)</f>
        <v>0.99373143974804412</v>
      </c>
      <c r="K63" s="86">
        <f t="shared" si="108"/>
        <v>1.4539314609364333</v>
      </c>
      <c r="L63" s="86">
        <f t="shared" si="108"/>
        <v>2.2625748354856268</v>
      </c>
      <c r="M63" s="86">
        <f t="shared" ref="M63" si="111">IFERROR(M16/M12,0)</f>
        <v>5.4623128695790344</v>
      </c>
      <c r="N63" s="86">
        <f t="shared" si="108"/>
        <v>0.99381486033465205</v>
      </c>
      <c r="O63" s="86">
        <f t="shared" si="108"/>
        <v>0.996745447648547</v>
      </c>
      <c r="P63" s="86">
        <f t="shared" si="108"/>
        <v>0.99395051704219384</v>
      </c>
      <c r="Q63" s="86">
        <f t="shared" si="108"/>
        <v>0.18057586505579085</v>
      </c>
      <c r="R63" s="86">
        <f t="shared" si="108"/>
        <v>0.24694245486103514</v>
      </c>
      <c r="S63" s="86">
        <f t="shared" ref="S63" si="112">IFERROR(S16/S12,0)</f>
        <v>0.36084801197995436</v>
      </c>
      <c r="T63" s="86">
        <f t="shared" si="108"/>
        <v>3.6211077700550186E-3</v>
      </c>
      <c r="U63" s="86">
        <f t="shared" si="108"/>
        <v>3.3266879493833487E-2</v>
      </c>
      <c r="V63" s="86">
        <f t="shared" si="108"/>
        <v>4.7684738088410152E-2</v>
      </c>
      <c r="W63" s="86">
        <f t="shared" si="108"/>
        <v>0</v>
      </c>
      <c r="X63" s="86">
        <f t="shared" si="108"/>
        <v>0</v>
      </c>
      <c r="Y63" s="86">
        <f t="shared" ref="Y63" si="113">IFERROR(Y16/Y12,0)</f>
        <v>0</v>
      </c>
      <c r="Z63" s="86">
        <f t="shared" si="108"/>
        <v>0.33088556892780685</v>
      </c>
      <c r="AA63" s="86">
        <f t="shared" si="108"/>
        <v>0.20055929270949355</v>
      </c>
      <c r="AB63" s="86">
        <f t="shared" si="108"/>
        <v>0.15535585588044232</v>
      </c>
      <c r="AC63" s="86">
        <f>IFERROR(AC16/AC12,0)</f>
        <v>0.99941367346567089</v>
      </c>
      <c r="AD63" s="86">
        <f>IFERROR(AD16/AD12,0)</f>
        <v>0.99883982372301483</v>
      </c>
      <c r="AE63" s="86">
        <f t="shared" ref="AE63" si="114">IFERROR(AE16/AE12,0)</f>
        <v>0.9999525516677249</v>
      </c>
      <c r="AF63" s="86">
        <f t="shared" si="108"/>
        <v>0.46410122396510656</v>
      </c>
      <c r="AG63" s="86">
        <f t="shared" si="108"/>
        <v>0.30948327160997807</v>
      </c>
      <c r="AH63" s="86">
        <f t="shared" ref="AH63" si="115">IFERROR(AH16/AH12,0)</f>
        <v>0.48770124845052959</v>
      </c>
    </row>
    <row r="64" spans="1:34" x14ac:dyDescent="0.2">
      <c r="A64" s="207" t="s">
        <v>107</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row>
    <row r="65" spans="1:34" x14ac:dyDescent="0.2">
      <c r="A65" s="96" t="s">
        <v>79</v>
      </c>
      <c r="B65" s="86">
        <f t="shared" ref="B65:AG65" si="116">IFERROR(B12/B16,0)</f>
        <v>1.1777287663798572</v>
      </c>
      <c r="C65" s="86">
        <f t="shared" si="116"/>
        <v>2.5386354511648119</v>
      </c>
      <c r="D65" s="86">
        <f t="shared" ref="D65" si="117">IFERROR(D12/D16,0)</f>
        <v>2.6287762149580245</v>
      </c>
      <c r="E65" s="86">
        <f t="shared" si="116"/>
        <v>0.75836415631270937</v>
      </c>
      <c r="F65" s="86">
        <f t="shared" si="116"/>
        <v>0.2810950024281248</v>
      </c>
      <c r="G65" s="86">
        <f t="shared" si="116"/>
        <v>0.50862743869977767</v>
      </c>
      <c r="H65" s="86">
        <f t="shared" si="116"/>
        <v>1.0231777168922913</v>
      </c>
      <c r="I65" s="86">
        <f t="shared" si="116"/>
        <v>1.0354974106275658</v>
      </c>
      <c r="J65" s="86">
        <f t="shared" ref="J65" si="118">IFERROR(J12/J16,0)</f>
        <v>1.0063081029755336</v>
      </c>
      <c r="K65" s="86">
        <f t="shared" si="116"/>
        <v>0.6877903304712385</v>
      </c>
      <c r="L65" s="86">
        <f t="shared" si="116"/>
        <v>0.44197433133095265</v>
      </c>
      <c r="M65" s="86">
        <f t="shared" ref="M65" si="119">IFERROR(M12/M16,0)</f>
        <v>0.18307263312748823</v>
      </c>
      <c r="N65" s="86">
        <f t="shared" si="116"/>
        <v>1.0062236337090644</v>
      </c>
      <c r="O65" s="86">
        <f t="shared" si="116"/>
        <v>1.0032651790476002</v>
      </c>
      <c r="P65" s="86">
        <f t="shared" si="116"/>
        <v>1.006086301937654</v>
      </c>
      <c r="Q65" s="86">
        <f t="shared" si="116"/>
        <v>5.5378386236224832</v>
      </c>
      <c r="R65" s="86">
        <f t="shared" si="116"/>
        <v>4.0495264395210695</v>
      </c>
      <c r="S65" s="86">
        <f t="shared" ref="S65" si="120">IFERROR(S12/S16,0)</f>
        <v>2.7712498525710365</v>
      </c>
      <c r="T65" s="86">
        <f t="shared" si="116"/>
        <v>276.15858557692309</v>
      </c>
      <c r="U65" s="86">
        <f t="shared" si="116"/>
        <v>30.059927928778681</v>
      </c>
      <c r="V65" s="86">
        <f t="shared" si="116"/>
        <v>20.971070411374484</v>
      </c>
      <c r="W65" s="86">
        <f t="shared" si="116"/>
        <v>0</v>
      </c>
      <c r="X65" s="86">
        <f t="shared" si="116"/>
        <v>0</v>
      </c>
      <c r="Y65" s="86">
        <f t="shared" ref="Y65" si="121">IFERROR(Y12/Y16,0)</f>
        <v>0</v>
      </c>
      <c r="Z65" s="86">
        <f t="shared" si="116"/>
        <v>3.022192848241688</v>
      </c>
      <c r="AA65" s="86">
        <f t="shared" si="116"/>
        <v>4.9860566742648098</v>
      </c>
      <c r="AB65" s="86">
        <f t="shared" si="116"/>
        <v>6.4368349318584626</v>
      </c>
      <c r="AC65" s="86">
        <f>IFERROR(AC12/AC16,0)</f>
        <v>1.0005866705148188</v>
      </c>
      <c r="AD65" s="86">
        <f>IFERROR(AD12/AD16,0)</f>
        <v>1.0011615238494005</v>
      </c>
      <c r="AE65" s="86">
        <f t="shared" ref="AE65" si="122">IFERROR(AE12/AE16,0)</f>
        <v>1.0000474505837262</v>
      </c>
      <c r="AF65" s="86">
        <f t="shared" si="116"/>
        <v>2.1547023544914956</v>
      </c>
      <c r="AG65" s="86">
        <f t="shared" si="116"/>
        <v>3.2311924156606304</v>
      </c>
      <c r="AH65" s="86">
        <f t="shared" ref="AH65" si="123">IFERROR(AH12/AH16,0)</f>
        <v>2.0504355959249425</v>
      </c>
    </row>
    <row r="66" spans="1:34" x14ac:dyDescent="0.2">
      <c r="A66" s="96" t="s">
        <v>80</v>
      </c>
      <c r="B66" s="86">
        <f t="shared" ref="B66:AG66" si="124">IFERROR(B12/B14,0)</f>
        <v>1.5329717752807563</v>
      </c>
      <c r="C66" s="86">
        <f t="shared" si="124"/>
        <v>4.6914161213152559</v>
      </c>
      <c r="D66" s="86">
        <f t="shared" ref="D66" si="125">IFERROR(D12/D14,0)</f>
        <v>3.9538394252017444</v>
      </c>
      <c r="E66" s="86">
        <f t="shared" si="124"/>
        <v>2.5945984737937469</v>
      </c>
      <c r="F66" s="86">
        <f t="shared" si="124"/>
        <v>0.62785340824609082</v>
      </c>
      <c r="G66" s="86">
        <f t="shared" si="124"/>
        <v>1.3894639588002806</v>
      </c>
      <c r="H66" s="86">
        <f t="shared" si="124"/>
        <v>1.0231777168922913</v>
      </c>
      <c r="I66" s="86">
        <f t="shared" si="124"/>
        <v>1.0354974106275658</v>
      </c>
      <c r="J66" s="86">
        <f t="shared" ref="J66" si="126">IFERROR(J12/J14,0)</f>
        <v>1.0063081029755336</v>
      </c>
      <c r="K66" s="86">
        <f t="shared" si="124"/>
        <v>0.6877903304712385</v>
      </c>
      <c r="L66" s="86">
        <f t="shared" si="124"/>
        <v>0.44197433133095265</v>
      </c>
      <c r="M66" s="86">
        <f t="shared" ref="M66" si="127">IFERROR(M12/M14,0)</f>
        <v>0.18307263312748823</v>
      </c>
      <c r="N66" s="86">
        <f t="shared" si="124"/>
        <v>24.983277216190832</v>
      </c>
      <c r="O66" s="86">
        <f t="shared" si="124"/>
        <v>2.9954588468779404</v>
      </c>
      <c r="P66" s="86">
        <f t="shared" si="124"/>
        <v>1.006086301937654</v>
      </c>
      <c r="Q66" s="86">
        <f t="shared" si="124"/>
        <v>9.6899710833843962</v>
      </c>
      <c r="R66" s="86">
        <f t="shared" si="124"/>
        <v>7.5127606426386464</v>
      </c>
      <c r="S66" s="86">
        <f t="shared" ref="S66" si="128">IFERROR(S12/S14,0)</f>
        <v>6.5515750944120468</v>
      </c>
      <c r="T66" s="86">
        <f t="shared" si="124"/>
        <v>276.15858557692309</v>
      </c>
      <c r="U66" s="86">
        <f t="shared" si="124"/>
        <v>30.059927928778681</v>
      </c>
      <c r="V66" s="86">
        <f t="shared" si="124"/>
        <v>20.971070411374484</v>
      </c>
      <c r="W66" s="86">
        <f t="shared" si="124"/>
        <v>0</v>
      </c>
      <c r="X66" s="86">
        <f t="shared" si="124"/>
        <v>0</v>
      </c>
      <c r="Y66" s="86">
        <f t="shared" ref="Y66" si="129">IFERROR(Y12/Y14,0)</f>
        <v>0</v>
      </c>
      <c r="Z66" s="86">
        <f t="shared" si="124"/>
        <v>3.022192848241688</v>
      </c>
      <c r="AA66" s="86">
        <f t="shared" si="124"/>
        <v>4.9860566742648098</v>
      </c>
      <c r="AB66" s="86">
        <f t="shared" si="124"/>
        <v>6.4368349318584626</v>
      </c>
      <c r="AC66" s="86">
        <f>IFERROR(AC12/AC14,0)</f>
        <v>1.0005866705148188</v>
      </c>
      <c r="AD66" s="86">
        <f>IFERROR(AD12/AD14,0)</f>
        <v>1.0011615238494005</v>
      </c>
      <c r="AE66" s="86">
        <f t="shared" ref="AE66" si="130">IFERROR(AE12/AE14,0)</f>
        <v>1.0000474505837262</v>
      </c>
      <c r="AF66" s="86">
        <f t="shared" si="124"/>
        <v>2.7616731845235418</v>
      </c>
      <c r="AG66" s="86">
        <f t="shared" si="124"/>
        <v>5.0950955070280513</v>
      </c>
      <c r="AH66" s="86">
        <f t="shared" ref="AH66" si="131">IFERROR(AH12/AH14,0)</f>
        <v>2.5226228803799882</v>
      </c>
    </row>
    <row r="67" spans="1:34" x14ac:dyDescent="0.2">
      <c r="A67" s="207" t="s">
        <v>108</v>
      </c>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row>
    <row r="68" spans="1:34" x14ac:dyDescent="0.2">
      <c r="A68" s="96" t="s">
        <v>82</v>
      </c>
      <c r="B68" s="86">
        <f t="shared" ref="B68:AG69" si="132">IFERROR(B11/B15,0)</f>
        <v>1.5465301231370703</v>
      </c>
      <c r="C68" s="86">
        <f t="shared" si="132"/>
        <v>1.9864663105747598</v>
      </c>
      <c r="D68" s="86">
        <f t="shared" ref="D68" si="133">IFERROR(D11/D15,0)</f>
        <v>2.0758920820064599</v>
      </c>
      <c r="E68" s="86">
        <f t="shared" si="132"/>
        <v>0</v>
      </c>
      <c r="F68" s="86">
        <f t="shared" si="132"/>
        <v>0</v>
      </c>
      <c r="G68" s="86">
        <f t="shared" si="132"/>
        <v>0</v>
      </c>
      <c r="H68" s="86">
        <f t="shared" si="132"/>
        <v>0</v>
      </c>
      <c r="I68" s="86">
        <f t="shared" si="132"/>
        <v>0</v>
      </c>
      <c r="J68" s="86">
        <f t="shared" ref="J68" si="134">IFERROR(J11/J15,0)</f>
        <v>0</v>
      </c>
      <c r="K68" s="86">
        <f t="shared" si="132"/>
        <v>0</v>
      </c>
      <c r="L68" s="86">
        <f t="shared" si="132"/>
        <v>0</v>
      </c>
      <c r="M68" s="86">
        <f t="shared" ref="M68" si="135">IFERROR(M11/M15,0)</f>
        <v>0</v>
      </c>
      <c r="N68" s="86">
        <f t="shared" si="132"/>
        <v>0</v>
      </c>
      <c r="O68" s="86">
        <f t="shared" si="132"/>
        <v>0</v>
      </c>
      <c r="P68" s="86">
        <f t="shared" si="132"/>
        <v>0</v>
      </c>
      <c r="Q68" s="86">
        <f t="shared" si="132"/>
        <v>2.0508460808647913</v>
      </c>
      <c r="R68" s="86">
        <f t="shared" si="132"/>
        <v>1.4549073799312731</v>
      </c>
      <c r="S68" s="86">
        <f t="shared" ref="S68:S69" si="136">IFERROR(S11/S15,0)</f>
        <v>0.80569750770559756</v>
      </c>
      <c r="T68" s="86">
        <f t="shared" si="132"/>
        <v>0</v>
      </c>
      <c r="U68" s="86">
        <f t="shared" si="132"/>
        <v>0</v>
      </c>
      <c r="V68" s="86">
        <f t="shared" si="132"/>
        <v>0</v>
      </c>
      <c r="W68" s="86">
        <f t="shared" si="132"/>
        <v>0</v>
      </c>
      <c r="X68" s="86">
        <f t="shared" si="132"/>
        <v>0</v>
      </c>
      <c r="Y68" s="86">
        <f t="shared" ref="Y68" si="137">IFERROR(Y11/Y15,0)</f>
        <v>0</v>
      </c>
      <c r="Z68" s="86">
        <f t="shared" si="132"/>
        <v>0</v>
      </c>
      <c r="AA68" s="86">
        <f t="shared" si="132"/>
        <v>0</v>
      </c>
      <c r="AB68" s="86">
        <f t="shared" si="132"/>
        <v>0</v>
      </c>
      <c r="AC68" s="86">
        <f>IFERROR(AC11/AC15,0)</f>
        <v>0</v>
      </c>
      <c r="AD68" s="86">
        <f>IFERROR(AD11/AD15,0)</f>
        <v>0</v>
      </c>
      <c r="AE68" s="86">
        <f t="shared" ref="AE68:AE69" si="138">IFERROR(AE11/AE15,0)</f>
        <v>0</v>
      </c>
      <c r="AF68" s="86">
        <f t="shared" si="132"/>
        <v>1.6934472640514986</v>
      </c>
      <c r="AG68" s="86">
        <f t="shared" si="132"/>
        <v>1.7410416862760489</v>
      </c>
      <c r="AH68" s="86">
        <f t="shared" ref="AH68" si="139">IFERROR(AH11/AH15,0)</f>
        <v>1.4352058041594693</v>
      </c>
    </row>
    <row r="69" spans="1:34" x14ac:dyDescent="0.2">
      <c r="A69" s="96" t="s">
        <v>83</v>
      </c>
      <c r="B69" s="86">
        <f t="shared" ref="B69:AG69" si="140">IFERROR(B12/B16,0)</f>
        <v>1.1777287663798572</v>
      </c>
      <c r="C69" s="86">
        <f t="shared" si="140"/>
        <v>2.5386354511648119</v>
      </c>
      <c r="D69" s="86">
        <f t="shared" ref="D69" si="141">IFERROR(D12/D16,0)</f>
        <v>2.6287762149580245</v>
      </c>
      <c r="E69" s="86">
        <f t="shared" si="140"/>
        <v>0.75836415631270937</v>
      </c>
      <c r="F69" s="86">
        <f t="shared" si="140"/>
        <v>0.2810950024281248</v>
      </c>
      <c r="G69" s="86">
        <f t="shared" si="132"/>
        <v>0.50862743869977767</v>
      </c>
      <c r="H69" s="86">
        <f t="shared" si="140"/>
        <v>1.0231777168922913</v>
      </c>
      <c r="I69" s="86">
        <f t="shared" si="140"/>
        <v>1.0354974106275658</v>
      </c>
      <c r="J69" s="86">
        <f t="shared" si="140"/>
        <v>1.0063081029755336</v>
      </c>
      <c r="K69" s="86">
        <f t="shared" si="140"/>
        <v>0.6877903304712385</v>
      </c>
      <c r="L69" s="86">
        <f t="shared" si="140"/>
        <v>0.44197433133095265</v>
      </c>
      <c r="M69" s="86">
        <f t="shared" ref="M69" si="142">IFERROR(M12/M16,0)</f>
        <v>0.18307263312748823</v>
      </c>
      <c r="N69" s="86">
        <f t="shared" si="140"/>
        <v>1.0062236337090644</v>
      </c>
      <c r="O69" s="86">
        <f t="shared" si="140"/>
        <v>1.0032651790476002</v>
      </c>
      <c r="P69" s="86">
        <f t="shared" ref="P69" si="143">IFERROR(P12/P16,0)</f>
        <v>1.006086301937654</v>
      </c>
      <c r="Q69" s="86">
        <f t="shared" si="140"/>
        <v>5.5378386236224832</v>
      </c>
      <c r="R69" s="86">
        <f t="shared" si="140"/>
        <v>4.0495264395210695</v>
      </c>
      <c r="S69" s="86">
        <f t="shared" si="136"/>
        <v>2.7712498525710365</v>
      </c>
      <c r="T69" s="86">
        <f t="shared" si="140"/>
        <v>276.15858557692309</v>
      </c>
      <c r="U69" s="86">
        <f t="shared" si="140"/>
        <v>30.059927928778681</v>
      </c>
      <c r="V69" s="86">
        <f t="shared" si="132"/>
        <v>20.971070411374484</v>
      </c>
      <c r="W69" s="86">
        <f t="shared" si="140"/>
        <v>0</v>
      </c>
      <c r="X69" s="86">
        <f t="shared" si="140"/>
        <v>0</v>
      </c>
      <c r="Y69" s="86">
        <f t="shared" ref="Y69" si="144">IFERROR(Y12/Y16,0)</f>
        <v>0</v>
      </c>
      <c r="Z69" s="86">
        <f t="shared" si="140"/>
        <v>3.022192848241688</v>
      </c>
      <c r="AA69" s="86">
        <f t="shared" si="140"/>
        <v>4.9860566742648098</v>
      </c>
      <c r="AB69" s="86">
        <f t="shared" si="132"/>
        <v>6.4368349318584626</v>
      </c>
      <c r="AC69" s="86">
        <f>IFERROR(AC12/AC16,0)</f>
        <v>1.0005866705148188</v>
      </c>
      <c r="AD69" s="86">
        <f>IFERROR(AD12/AD16,0)</f>
        <v>1.0011615238494005</v>
      </c>
      <c r="AE69" s="86">
        <f t="shared" si="138"/>
        <v>1.0000474505837262</v>
      </c>
      <c r="AF69" s="86">
        <f t="shared" si="140"/>
        <v>2.1547023544914956</v>
      </c>
      <c r="AG69" s="86">
        <f t="shared" si="140"/>
        <v>3.2311924156606304</v>
      </c>
      <c r="AH69" s="86">
        <f t="shared" ref="AH69" si="145">IFERROR(AH12/AH16,0)</f>
        <v>2.0504355959249425</v>
      </c>
    </row>
    <row r="70" spans="1:34" x14ac:dyDescent="0.2">
      <c r="A70" s="207" t="s">
        <v>109</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row>
    <row r="71" spans="1:34" x14ac:dyDescent="0.2">
      <c r="A71" s="96" t="s">
        <v>85</v>
      </c>
      <c r="B71" s="86">
        <f t="shared" ref="B71:AG71" si="146">IFERROR(B32/B12,0)</f>
        <v>0.15090806258062797</v>
      </c>
      <c r="C71" s="86">
        <f t="shared" si="146"/>
        <v>0.60608759341906848</v>
      </c>
      <c r="D71" s="86">
        <f t="shared" ref="D71" si="147">IFERROR(D32/D12,0)</f>
        <v>0.61959485394386538</v>
      </c>
      <c r="E71" s="86">
        <f t="shared" si="146"/>
        <v>-0.31862772215153695</v>
      </c>
      <c r="F71" s="86">
        <f t="shared" si="146"/>
        <v>-2.5575161114993401</v>
      </c>
      <c r="G71" s="86">
        <f t="shared" si="146"/>
        <v>-0.96607560645240731</v>
      </c>
      <c r="H71" s="86">
        <f t="shared" si="146"/>
        <v>2.265267949998866E-2</v>
      </c>
      <c r="I71" s="86">
        <f t="shared" si="146"/>
        <v>3.4280540215018446E-2</v>
      </c>
      <c r="J71" s="86">
        <f t="shared" ref="J71" si="148">IFERROR(J32/J12,0)</f>
        <v>6.2685602519559278E-3</v>
      </c>
      <c r="K71" s="86">
        <f t="shared" si="146"/>
        <v>-0.45393146093643333</v>
      </c>
      <c r="L71" s="86">
        <f t="shared" si="146"/>
        <v>-1.2625748354856265</v>
      </c>
      <c r="M71" s="86">
        <f t="shared" ref="M71" si="149">IFERROR(M32/M12,0)</f>
        <v>-4.4623128695790344</v>
      </c>
      <c r="N71" s="86">
        <f t="shared" si="146"/>
        <v>6.1851396653479348E-3</v>
      </c>
      <c r="O71" s="86">
        <f t="shared" si="146"/>
        <v>3.2545523514529691E-3</v>
      </c>
      <c r="P71" s="86">
        <f t="shared" si="146"/>
        <v>6.0494829578062155E-3</v>
      </c>
      <c r="Q71" s="86">
        <f t="shared" si="146"/>
        <v>0.81942413494420918</v>
      </c>
      <c r="R71" s="86">
        <f t="shared" si="146"/>
        <v>0.75305754513896483</v>
      </c>
      <c r="S71" s="86">
        <f t="shared" ref="S71" si="150">IFERROR(S32/S12,0)</f>
        <v>0.63915198802004569</v>
      </c>
      <c r="T71" s="86">
        <f t="shared" si="146"/>
        <v>0.99637889222994502</v>
      </c>
      <c r="U71" s="86">
        <f t="shared" si="146"/>
        <v>0.96673312050616655</v>
      </c>
      <c r="V71" s="86">
        <f t="shared" si="146"/>
        <v>0.95231526191158988</v>
      </c>
      <c r="W71" s="86">
        <f t="shared" si="146"/>
        <v>1</v>
      </c>
      <c r="X71" s="86">
        <f t="shared" si="146"/>
        <v>1</v>
      </c>
      <c r="Y71" s="86">
        <f t="shared" ref="Y71" si="151">IFERROR(Y32/Y12,0)</f>
        <v>1</v>
      </c>
      <c r="Z71" s="86">
        <f t="shared" si="146"/>
        <v>0.66911443107219315</v>
      </c>
      <c r="AA71" s="86">
        <f t="shared" si="146"/>
        <v>0.79944070729050642</v>
      </c>
      <c r="AB71" s="86">
        <f t="shared" si="146"/>
        <v>0.84464414411955768</v>
      </c>
      <c r="AC71" s="86">
        <f>IFERROR(AC32/AC12,0)</f>
        <v>5.8632653432909049E-4</v>
      </c>
      <c r="AD71" s="86">
        <f>IFERROR(AD32/AD12,0)</f>
        <v>1.1601762769852045E-3</v>
      </c>
      <c r="AE71" s="86">
        <f t="shared" ref="AE71" si="152">IFERROR(AE32/AE12,0)</f>
        <v>4.7448332275074605E-5</v>
      </c>
      <c r="AF71" s="86">
        <f t="shared" si="146"/>
        <v>0.53589877603489344</v>
      </c>
      <c r="AG71" s="86">
        <f t="shared" si="146"/>
        <v>0.69051672839002187</v>
      </c>
      <c r="AH71" s="86">
        <f t="shared" ref="AH71" si="153">IFERROR(AH32/AH12,0)</f>
        <v>0.51229875154947047</v>
      </c>
    </row>
    <row r="72" spans="1:34" x14ac:dyDescent="0.2">
      <c r="A72" s="207" t="s">
        <v>110</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row>
    <row r="73" spans="1:34" x14ac:dyDescent="0.2">
      <c r="A73" s="96" t="s">
        <v>284</v>
      </c>
      <c r="B73" s="86">
        <f t="shared" ref="B73:AG73" si="154">IFERROR(B40/B37,0)</f>
        <v>-3.0193457330204864E-3</v>
      </c>
      <c r="C73" s="86">
        <f t="shared" si="154"/>
        <v>1.3151690787809013E-2</v>
      </c>
      <c r="D73" s="86">
        <f t="shared" ref="D73" si="155">IFERROR(D40/D37,0)</f>
        <v>3.9729337679259125E-2</v>
      </c>
      <c r="E73" s="86">
        <f t="shared" si="154"/>
        <v>0</v>
      </c>
      <c r="F73" s="86">
        <f t="shared" si="154"/>
        <v>0</v>
      </c>
      <c r="G73" s="86">
        <f t="shared" si="154"/>
        <v>0</v>
      </c>
      <c r="H73" s="86">
        <f t="shared" si="154"/>
        <v>0</v>
      </c>
      <c r="I73" s="86">
        <f t="shared" si="154"/>
        <v>0</v>
      </c>
      <c r="J73" s="86">
        <f t="shared" ref="J73" si="156">IFERROR(J40/J37,0)</f>
        <v>0</v>
      </c>
      <c r="K73" s="86">
        <f t="shared" si="154"/>
        <v>-107939.5</v>
      </c>
      <c r="L73" s="86">
        <f t="shared" si="154"/>
        <v>-4.5213935764833968</v>
      </c>
      <c r="M73" s="86">
        <f t="shared" ref="M73" si="157">IFERROR(M40/M37,0)</f>
        <v>0</v>
      </c>
      <c r="N73" s="86">
        <f t="shared" si="154"/>
        <v>0</v>
      </c>
      <c r="O73" s="86">
        <f t="shared" si="154"/>
        <v>0</v>
      </c>
      <c r="P73" s="86">
        <f t="shared" si="154"/>
        <v>0</v>
      </c>
      <c r="Q73" s="86">
        <f t="shared" si="154"/>
        <v>0.53070749204563383</v>
      </c>
      <c r="R73" s="86">
        <f t="shared" si="154"/>
        <v>0.47588693347249383</v>
      </c>
      <c r="S73" s="86">
        <f t="shared" ref="S73" si="158">IFERROR(S40/S37,0)</f>
        <v>0.37424295502316651</v>
      </c>
      <c r="T73" s="86">
        <f t="shared" si="154"/>
        <v>0</v>
      </c>
      <c r="U73" s="86">
        <f t="shared" si="154"/>
        <v>0</v>
      </c>
      <c r="V73" s="86">
        <f t="shared" si="154"/>
        <v>0</v>
      </c>
      <c r="W73" s="86">
        <f t="shared" si="154"/>
        <v>0</v>
      </c>
      <c r="X73" s="86">
        <f t="shared" si="154"/>
        <v>0</v>
      </c>
      <c r="Y73" s="86">
        <f t="shared" ref="Y73" si="159">IFERROR(Y40/Y37,0)</f>
        <v>0</v>
      </c>
      <c r="Z73" s="86">
        <f t="shared" si="154"/>
        <v>-1.6659354798187673E-2</v>
      </c>
      <c r="AA73" s="86">
        <f t="shared" si="154"/>
        <v>0.41747642022278497</v>
      </c>
      <c r="AB73" s="86">
        <f t="shared" si="154"/>
        <v>0.14254430964683776</v>
      </c>
      <c r="AC73" s="86">
        <f>IFERROR(AC40/AC37,0)</f>
        <v>0.93320095307333739</v>
      </c>
      <c r="AD73" s="86">
        <f>IFERROR(AD40/AD37,0)</f>
        <v>0.93251620551672987</v>
      </c>
      <c r="AE73" s="86">
        <f t="shared" ref="AE73" si="160">IFERROR(AE40/AE37,0)</f>
        <v>0</v>
      </c>
      <c r="AF73" s="86">
        <f t="shared" si="154"/>
        <v>0.28091956497085119</v>
      </c>
      <c r="AG73" s="86">
        <f t="shared" si="154"/>
        <v>0.29049709300969973</v>
      </c>
      <c r="AH73" s="86">
        <f t="shared" ref="AH73" si="161">IFERROR(AH40/AH37,0)</f>
        <v>9.8227095368941586E-2</v>
      </c>
    </row>
    <row r="74" spans="1:34" x14ac:dyDescent="0.2">
      <c r="A74" s="96" t="s">
        <v>88</v>
      </c>
      <c r="B74" s="86">
        <f t="shared" ref="B74:AG74" si="162">IFERROR(+B45/B37,0)</f>
        <v>-1.7243373594915699E-2</v>
      </c>
      <c r="C74" s="86">
        <f t="shared" si="162"/>
        <v>-5.6890240476179107E-4</v>
      </c>
      <c r="D74" s="86">
        <f t="shared" ref="D74" si="163">IFERROR(+D45/D37,0)</f>
        <v>-3.3157424925113248E-2</v>
      </c>
      <c r="E74" s="86">
        <f t="shared" si="162"/>
        <v>0</v>
      </c>
      <c r="F74" s="86">
        <f t="shared" si="162"/>
        <v>0</v>
      </c>
      <c r="G74" s="86">
        <f t="shared" si="162"/>
        <v>0</v>
      </c>
      <c r="H74" s="86">
        <f t="shared" si="162"/>
        <v>0</v>
      </c>
      <c r="I74" s="86">
        <f t="shared" si="162"/>
        <v>0</v>
      </c>
      <c r="J74" s="86">
        <f t="shared" ref="J74" si="164">IFERROR(+J45/J37,0)</f>
        <v>0</v>
      </c>
      <c r="K74" s="86">
        <f t="shared" si="162"/>
        <v>-162127</v>
      </c>
      <c r="L74" s="86">
        <f t="shared" si="162"/>
        <v>-1.3349482852476864</v>
      </c>
      <c r="M74" s="86">
        <f t="shared" ref="M74" si="165">IFERROR(+M45/M37,0)</f>
        <v>0</v>
      </c>
      <c r="N74" s="86">
        <f t="shared" si="162"/>
        <v>0</v>
      </c>
      <c r="O74" s="86">
        <f t="shared" si="162"/>
        <v>0</v>
      </c>
      <c r="P74" s="86">
        <f t="shared" si="162"/>
        <v>0</v>
      </c>
      <c r="Q74" s="86">
        <f t="shared" si="162"/>
        <v>0.53520235850180675</v>
      </c>
      <c r="R74" s="86">
        <f t="shared" si="162"/>
        <v>0.48964212492155545</v>
      </c>
      <c r="S74" s="86">
        <f t="shared" ref="S74" si="166">IFERROR(+S45/S37,0)</f>
        <v>0.39478067368394065</v>
      </c>
      <c r="T74" s="86">
        <f t="shared" si="162"/>
        <v>0</v>
      </c>
      <c r="U74" s="86">
        <f t="shared" si="162"/>
        <v>0</v>
      </c>
      <c r="V74" s="86">
        <f t="shared" si="162"/>
        <v>0</v>
      </c>
      <c r="W74" s="86">
        <f t="shared" si="162"/>
        <v>0</v>
      </c>
      <c r="X74" s="86">
        <f t="shared" si="162"/>
        <v>0</v>
      </c>
      <c r="Y74" s="86">
        <f t="shared" ref="Y74" si="167">IFERROR(+Y45/Y37,0)</f>
        <v>0</v>
      </c>
      <c r="Z74" s="86">
        <f t="shared" si="162"/>
        <v>-1.8695369160537226E-2</v>
      </c>
      <c r="AA74" s="86">
        <f t="shared" si="162"/>
        <v>0.38292816302032956</v>
      </c>
      <c r="AB74" s="86">
        <f t="shared" si="162"/>
        <v>0.12177932005974564</v>
      </c>
      <c r="AC74" s="86">
        <f>IFERROR(+AC45/AC37,0)</f>
        <v>0.89646373186730088</v>
      </c>
      <c r="AD74" s="86">
        <f>IFERROR(+AD45/AD37,0)</f>
        <v>0.91700165509424902</v>
      </c>
      <c r="AE74" s="86">
        <f t="shared" ref="AE74" si="168">IFERROR(+AE45/AE37,0)</f>
        <v>0</v>
      </c>
      <c r="AF74" s="86">
        <f t="shared" si="162"/>
        <v>0.26517126657031787</v>
      </c>
      <c r="AG74" s="86">
        <f t="shared" si="162"/>
        <v>0.27869716876070216</v>
      </c>
      <c r="AH74" s="86">
        <f t="shared" ref="AH74" si="169">IFERROR(+AH45/AH37,0)</f>
        <v>4.1931143248125934E-2</v>
      </c>
    </row>
    <row r="75" spans="1:34" x14ac:dyDescent="0.2">
      <c r="A75" s="207" t="s">
        <v>89</v>
      </c>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row>
    <row r="76" spans="1:34" x14ac:dyDescent="0.2">
      <c r="A76" s="204" t="s">
        <v>194</v>
      </c>
      <c r="B76" s="205">
        <f>B10-B14</f>
        <v>5447033000</v>
      </c>
      <c r="C76" s="205">
        <f t="shared" ref="C76:AG76" si="170">C10-C14</f>
        <v>44668132000</v>
      </c>
      <c r="D76" s="205">
        <f t="shared" ref="D76" si="171">D10-D14</f>
        <v>63596379000</v>
      </c>
      <c r="E76" s="205">
        <f t="shared" si="170"/>
        <v>66659000</v>
      </c>
      <c r="F76" s="205">
        <f t="shared" si="170"/>
        <v>-30535000</v>
      </c>
      <c r="G76" s="205">
        <f t="shared" si="170"/>
        <v>22763000</v>
      </c>
      <c r="H76" s="205">
        <f t="shared" si="170"/>
        <v>-274835000</v>
      </c>
      <c r="I76" s="205">
        <f t="shared" si="170"/>
        <v>-367491000</v>
      </c>
      <c r="J76" s="205">
        <f t="shared" ref="J76" si="172">J10-J14</f>
        <v>70651940</v>
      </c>
      <c r="K76" s="205">
        <f t="shared" si="170"/>
        <v>-206133000</v>
      </c>
      <c r="L76" s="205">
        <f t="shared" si="170"/>
        <v>-255179000</v>
      </c>
      <c r="M76" s="205">
        <f t="shared" ref="M76" si="173">M10-M14</f>
        <v>-393161000</v>
      </c>
      <c r="N76" s="205">
        <f t="shared" si="170"/>
        <v>570771515</v>
      </c>
      <c r="O76" s="205">
        <f t="shared" si="170"/>
        <v>752732795</v>
      </c>
      <c r="P76" s="205">
        <f t="shared" si="170"/>
        <v>3677500</v>
      </c>
      <c r="Q76" s="205">
        <f t="shared" si="170"/>
        <v>117084358000</v>
      </c>
      <c r="R76" s="205">
        <f t="shared" si="170"/>
        <v>77497481000</v>
      </c>
      <c r="S76" s="205">
        <f t="shared" ref="S76" si="174">S10-S14</f>
        <v>55075030000</v>
      </c>
      <c r="T76" s="205">
        <f t="shared" ref="T76:AB76" si="175">T10-T14</f>
        <v>572329858</v>
      </c>
      <c r="U76" s="205">
        <f t="shared" si="175"/>
        <v>402509672</v>
      </c>
      <c r="V76" s="205">
        <f t="shared" si="175"/>
        <v>316497989</v>
      </c>
      <c r="W76" s="205">
        <f t="shared" si="175"/>
        <v>1000000</v>
      </c>
      <c r="X76" s="205">
        <f t="shared" si="175"/>
        <v>1000000</v>
      </c>
      <c r="Y76" s="205">
        <f t="shared" ref="Y76" si="176">Y10-Y14</f>
        <v>1000000</v>
      </c>
      <c r="Z76" s="205">
        <f t="shared" si="175"/>
        <v>48453231000</v>
      </c>
      <c r="AA76" s="205">
        <f t="shared" si="175"/>
        <v>50418451000</v>
      </c>
      <c r="AB76" s="205">
        <f t="shared" si="175"/>
        <v>56173509000</v>
      </c>
      <c r="AC76" s="205">
        <f>AC10-AC14</f>
        <v>3714750</v>
      </c>
      <c r="AD76" s="205">
        <f>AD10-AD14</f>
        <v>3714750</v>
      </c>
      <c r="AE76" s="205">
        <f t="shared" ref="AE76" si="177">AE10-AE14</f>
        <v>3714750</v>
      </c>
      <c r="AF76" s="205">
        <f t="shared" si="170"/>
        <v>171718129123</v>
      </c>
      <c r="AG76" s="205">
        <f t="shared" si="170"/>
        <v>173090816217</v>
      </c>
      <c r="AH76" s="205">
        <f t="shared" ref="AH76" si="178">AH10-AH14</f>
        <v>174870062179</v>
      </c>
    </row>
    <row r="77" spans="1:34" x14ac:dyDescent="0.2">
      <c r="A77" s="207" t="s">
        <v>219</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row>
    <row r="78" spans="1:34" x14ac:dyDescent="0.2">
      <c r="A78" s="96" t="s">
        <v>220</v>
      </c>
      <c r="B78" s="86"/>
      <c r="C78" s="86">
        <f>IFERROR(C12/B12-1,"")</f>
        <v>-0.16859046604417627</v>
      </c>
      <c r="D78" s="86"/>
      <c r="E78" s="86"/>
      <c r="F78" s="86">
        <f>IFERROR(F12/E12-1,"")</f>
        <v>-0.52503180837528352</v>
      </c>
      <c r="G78" s="86"/>
      <c r="H78" s="86"/>
      <c r="I78" s="86">
        <f>IFERROR(I12/H12-1,"")</f>
        <v>-0.47494632196847975</v>
      </c>
      <c r="J78" s="86"/>
      <c r="K78" s="86"/>
      <c r="L78" s="86">
        <f>IFERROR(L12/K12-1,"")</f>
        <v>-0.55492770410432812</v>
      </c>
      <c r="M78" s="86"/>
      <c r="N78" s="86"/>
      <c r="O78" s="86">
        <f>IFERROR(O12/N12-1,"")</f>
        <v>0.90045788096990598</v>
      </c>
      <c r="P78" s="86"/>
      <c r="Q78" s="86"/>
      <c r="R78" s="86">
        <f>IFERROR(R12/Q12-1,"")</f>
        <v>-0.30333373106006123</v>
      </c>
      <c r="S78" s="86"/>
      <c r="T78" s="86"/>
      <c r="U78" s="86">
        <f>IFERROR(U12/T12-1,"")</f>
        <v>-0.27515050934240759</v>
      </c>
      <c r="V78" s="86"/>
      <c r="W78" s="86"/>
      <c r="X78" s="86">
        <f>IFERROR(X12/W12-1,"")</f>
        <v>0</v>
      </c>
      <c r="Y78" s="86"/>
      <c r="Z78" s="86"/>
      <c r="AA78" s="86">
        <f>IFERROR(AA12/Z12-1,"")</f>
        <v>-0.12907472492047389</v>
      </c>
      <c r="AB78" s="86"/>
      <c r="AC78" s="86"/>
      <c r="AD78" s="86">
        <f>IFERROR(AD12/AC12-1,"")</f>
        <v>-0.49462288967612822</v>
      </c>
      <c r="AE78" s="86"/>
      <c r="AF78" s="86"/>
      <c r="AG78" s="86">
        <f>IFERROR(AG12/AF12-1,"")</f>
        <v>-0.22705290781912779</v>
      </c>
      <c r="AH78" s="86"/>
    </row>
    <row r="79" spans="1:34" x14ac:dyDescent="0.2">
      <c r="A79" s="96" t="s">
        <v>221</v>
      </c>
      <c r="B79" s="86"/>
      <c r="C79" s="86">
        <f>IFERROR(C16/B16-1,"")</f>
        <v>-0.6142908489153236</v>
      </c>
      <c r="D79" s="86"/>
      <c r="E79" s="86"/>
      <c r="F79" s="86">
        <f>IFERROR(F16/E16-1,"")</f>
        <v>0.28141321903776362</v>
      </c>
      <c r="G79" s="86"/>
      <c r="H79" s="86"/>
      <c r="I79" s="86">
        <f>IFERROR(I16/H16-1,"")</f>
        <v>-0.48119307878461459</v>
      </c>
      <c r="J79" s="86"/>
      <c r="K79" s="86"/>
      <c r="L79" s="86">
        <f>IFERROR(L16/K16-1,"")</f>
        <v>-0.30738868803569619</v>
      </c>
      <c r="M79" s="86"/>
      <c r="N79" s="86"/>
      <c r="O79" s="86">
        <f>IFERROR(O16/N16-1,"")</f>
        <v>0.90606200099150302</v>
      </c>
      <c r="P79" s="86"/>
      <c r="Q79" s="86"/>
      <c r="R79" s="86">
        <f>IFERROR(R16/Q16-1,"")</f>
        <v>-4.7289743744247992E-2</v>
      </c>
      <c r="S79" s="86"/>
      <c r="T79" s="86"/>
      <c r="U79" s="86">
        <f>IFERROR(U16/T16-1,"")</f>
        <v>5.6591447115384614</v>
      </c>
      <c r="V79" s="86"/>
      <c r="W79" s="86"/>
      <c r="X79" s="86" t="str">
        <f>IFERROR(X16/W16-1,"")</f>
        <v/>
      </c>
      <c r="Y79" s="86"/>
      <c r="Z79" s="86"/>
      <c r="AA79" s="86">
        <f>IFERROR(AA16/Z16-1,"")</f>
        <v>-0.47210705580550383</v>
      </c>
      <c r="AB79" s="86"/>
      <c r="AC79" s="86"/>
      <c r="AD79" s="86">
        <f>IFERROR(AD16/AC16-1,"")</f>
        <v>-0.4949130703414556</v>
      </c>
      <c r="AE79" s="86"/>
      <c r="AF79" s="86"/>
      <c r="AG79" s="86">
        <f>IFERROR(AG16/AF16-1,"")</f>
        <v>-0.48456461108678106</v>
      </c>
      <c r="AH79" s="86"/>
    </row>
    <row r="80" spans="1:34" x14ac:dyDescent="0.2">
      <c r="A80" s="96" t="s">
        <v>222</v>
      </c>
      <c r="B80" s="86"/>
      <c r="C80" s="86">
        <f>IFERROR(C32/B32-1,"")</f>
        <v>2.3391655486380944</v>
      </c>
      <c r="D80" s="86"/>
      <c r="E80" s="86"/>
      <c r="F80" s="86">
        <f>IFERROR(F32/E32-1,"")</f>
        <v>2.8124077664284268</v>
      </c>
      <c r="G80" s="86"/>
      <c r="H80" s="86"/>
      <c r="I80" s="86">
        <f>IFERROR(I32/H32-1,"")</f>
        <v>-0.2054306986150628</v>
      </c>
      <c r="J80" s="86"/>
      <c r="K80" s="86"/>
      <c r="L80" s="86">
        <f>IFERROR(L32/K32-1,"")</f>
        <v>0.23793376121242105</v>
      </c>
      <c r="M80" s="86"/>
      <c r="N80" s="86"/>
      <c r="O80" s="86">
        <f>IFERROR(O32/N32-1,"")</f>
        <v>0</v>
      </c>
      <c r="P80" s="86"/>
      <c r="Q80" s="86"/>
      <c r="R80" s="86">
        <f>IFERROR(R32/Q32-1,"")</f>
        <v>-0.35975794720184584</v>
      </c>
      <c r="S80" s="86"/>
      <c r="T80" s="86"/>
      <c r="U80" s="86">
        <f>IFERROR(U32/T32-1,"")</f>
        <v>-0.29671732764988823</v>
      </c>
      <c r="V80" s="86"/>
      <c r="W80" s="86"/>
      <c r="X80" s="86">
        <f>IFERROR(X32/W32-1,"")</f>
        <v>0</v>
      </c>
      <c r="Y80" s="86"/>
      <c r="Z80" s="86"/>
      <c r="AA80" s="86">
        <f>IFERROR(AA32/Z32-1,"")</f>
        <v>4.0559111527567637E-2</v>
      </c>
      <c r="AB80" s="86"/>
      <c r="AC80" s="86"/>
      <c r="AD80" s="86">
        <f>IFERROR(AD32/AC32-1,"")</f>
        <v>0</v>
      </c>
      <c r="AE80" s="86"/>
      <c r="AF80" s="86"/>
      <c r="AG80" s="86">
        <f>IFERROR(AG32/AF32-1,"")</f>
        <v>-4.0415817696061174E-3</v>
      </c>
      <c r="AH80" s="86"/>
    </row>
    <row r="81" spans="1:34" x14ac:dyDescent="0.2">
      <c r="A81" s="96" t="s">
        <v>61</v>
      </c>
      <c r="B81" s="86"/>
      <c r="C81" s="86">
        <f>IFERROR(C37/B37-1,"")</f>
        <v>1.5531309744463151E-3</v>
      </c>
      <c r="D81" s="86"/>
      <c r="E81" s="86"/>
      <c r="F81" s="86" t="str">
        <f>IFERROR(F37/E37-1,"")</f>
        <v/>
      </c>
      <c r="G81" s="86"/>
      <c r="H81" s="86"/>
      <c r="I81" s="86" t="str">
        <f>IFERROR(I37/H37-1,"")</f>
        <v/>
      </c>
      <c r="J81" s="86"/>
      <c r="K81" s="86"/>
      <c r="L81" s="86">
        <f>IFERROR(L37/K37-1,"")</f>
        <v>18369</v>
      </c>
      <c r="M81" s="86"/>
      <c r="N81" s="86"/>
      <c r="O81" s="86" t="str">
        <f>IFERROR(O37/N37-1,"")</f>
        <v/>
      </c>
      <c r="P81" s="86"/>
      <c r="Q81" s="86"/>
      <c r="R81" s="86">
        <f>IFERROR(R37/Q37-1,"")</f>
        <v>-0.2830003188773883</v>
      </c>
      <c r="S81" s="86"/>
      <c r="T81" s="86"/>
      <c r="U81" s="86" t="str">
        <f>IFERROR(U37/T37-1,"")</f>
        <v/>
      </c>
      <c r="V81" s="86"/>
      <c r="W81" s="86"/>
      <c r="X81" s="86" t="str">
        <f>IFERROR(X37/W37-1,"")</f>
        <v/>
      </c>
      <c r="Y81" s="86"/>
      <c r="Z81" s="86"/>
      <c r="AA81" s="86">
        <f>IFERROR(AA37/Z37-1,"")</f>
        <v>0.65344236740854367</v>
      </c>
      <c r="AB81" s="86"/>
      <c r="AC81" s="86"/>
      <c r="AD81" s="86">
        <f>IFERROR(AD37/AC37-1,"")</f>
        <v>6.4417507277126917E-2</v>
      </c>
      <c r="AE81" s="86"/>
      <c r="AF81" s="86"/>
      <c r="AG81" s="86">
        <f>IFERROR(AG37/AF37-1,"")</f>
        <v>-2.2778401482367761E-2</v>
      </c>
      <c r="AH81" s="86"/>
    </row>
    <row r="82" spans="1:34" x14ac:dyDescent="0.2">
      <c r="A82" s="96" t="s">
        <v>223</v>
      </c>
      <c r="B82" s="86"/>
      <c r="C82" s="86">
        <f>IFERROR(C38/B38-1,"")</f>
        <v>-1.9472687055959836E-2</v>
      </c>
      <c r="D82" s="86"/>
      <c r="E82" s="86"/>
      <c r="F82" s="86" t="str">
        <f>IFERROR(F38/E38-1,"")</f>
        <v/>
      </c>
      <c r="G82" s="86"/>
      <c r="H82" s="86"/>
      <c r="I82" s="86" t="str">
        <f>IFERROR(I38/H38-1,"")</f>
        <v/>
      </c>
      <c r="J82" s="86"/>
      <c r="K82" s="86"/>
      <c r="L82" s="86" t="str">
        <f>IFERROR(L38/K38-1,"")</f>
        <v/>
      </c>
      <c r="M82" s="86"/>
      <c r="N82" s="86"/>
      <c r="O82" s="86">
        <f>IFERROR(O38/N38-1,"")</f>
        <v>9.7188246531946243E-2</v>
      </c>
      <c r="P82" s="86"/>
      <c r="Q82" s="86"/>
      <c r="R82" s="86">
        <f>IFERROR(R38/Q38-1,"")</f>
        <v>-0.21017535103182483</v>
      </c>
      <c r="S82" s="86"/>
      <c r="T82" s="86"/>
      <c r="U82" s="86" t="str">
        <f>IFERROR(U38/T38-1,"")</f>
        <v/>
      </c>
      <c r="V82" s="86"/>
      <c r="W82" s="86"/>
      <c r="X82" s="86" t="str">
        <f>IFERROR(X38/W38-1,"")</f>
        <v/>
      </c>
      <c r="Y82" s="86"/>
      <c r="Z82" s="86"/>
      <c r="AA82" s="86">
        <f>IFERROR(AA38/Z38-1,"")</f>
        <v>-5.2906854287234073E-2</v>
      </c>
      <c r="AB82" s="86"/>
      <c r="AC82" s="86"/>
      <c r="AD82" s="86">
        <f>IFERROR(AD38/AC38-1,"")</f>
        <v>0.14337977085150144</v>
      </c>
      <c r="AE82" s="86"/>
      <c r="AF82" s="86"/>
      <c r="AG82" s="86">
        <f>IFERROR(AG38/AF38-1,"")</f>
        <v>-4.4380342651497817E-2</v>
      </c>
      <c r="AH82" s="86"/>
    </row>
    <row r="83" spans="1:34" x14ac:dyDescent="0.2">
      <c r="A83" s="96" t="s">
        <v>224</v>
      </c>
      <c r="B83" s="86"/>
      <c r="C83" s="86">
        <f>IFERROR(C39/B39-1,"")</f>
        <v>4.9510010534545623E-2</v>
      </c>
      <c r="D83" s="86"/>
      <c r="E83" s="86"/>
      <c r="F83" s="86">
        <f>IFERROR(F39/E39-1,"")</f>
        <v>1.5547052096309759</v>
      </c>
      <c r="G83" s="86"/>
      <c r="H83" s="86"/>
      <c r="I83" s="86" t="str">
        <f>IFERROR(I39/H39-1,"")</f>
        <v/>
      </c>
      <c r="J83" s="86"/>
      <c r="K83" s="86"/>
      <c r="L83" s="86">
        <f>IFERROR(L39/K39-1,"")</f>
        <v>-6.0334165581964139E-2</v>
      </c>
      <c r="M83" s="86"/>
      <c r="N83" s="86"/>
      <c r="O83" s="86" t="str">
        <f>IFERROR(O39/N39-1,"")</f>
        <v/>
      </c>
      <c r="P83" s="86"/>
      <c r="Q83" s="86"/>
      <c r="R83" s="86">
        <f>IFERROR(R39/Q39-1,"")</f>
        <v>2.2514747275211633E-2</v>
      </c>
      <c r="S83" s="86"/>
      <c r="T83" s="86"/>
      <c r="U83" s="86">
        <f>IFERROR(U39/T39-1,"")</f>
        <v>0.13198157964322754</v>
      </c>
      <c r="V83" s="86"/>
      <c r="W83" s="86"/>
      <c r="X83" s="86" t="str">
        <f>IFERROR(X39/W39-1,"")</f>
        <v/>
      </c>
      <c r="Y83" s="86"/>
      <c r="Z83" s="86"/>
      <c r="AA83" s="86">
        <f>IFERROR(AA39/Z39-1,"")</f>
        <v>2.8181229773462713E-2</v>
      </c>
      <c r="AB83" s="86"/>
      <c r="AC83" s="86"/>
      <c r="AD83" s="86">
        <f>IFERROR(AD39/AC39-1,"")</f>
        <v>7.4930807680574807E-2</v>
      </c>
      <c r="AE83" s="86"/>
      <c r="AF83" s="86"/>
      <c r="AG83" s="86">
        <f>IFERROR(AG39/AF39-1,"")</f>
        <v>5.9170323014868575E-2</v>
      </c>
      <c r="AH83" s="86"/>
    </row>
    <row r="84" spans="1:34" x14ac:dyDescent="0.2">
      <c r="A84" s="96" t="s">
        <v>64</v>
      </c>
      <c r="B84" s="86"/>
      <c r="C84" s="86">
        <f>IFERROR(C40/B40-1,"")</f>
        <v>-5.3625733025812856</v>
      </c>
      <c r="D84" s="86"/>
      <c r="E84" s="86"/>
      <c r="F84" s="86">
        <f>IFERROR(F40/E40-1,"")</f>
        <v>1.5547052096309759</v>
      </c>
      <c r="G84" s="86"/>
      <c r="H84" s="86"/>
      <c r="I84" s="86" t="str">
        <f>IFERROR(I40/H40-1,"")</f>
        <v/>
      </c>
      <c r="J84" s="86"/>
      <c r="K84" s="86"/>
      <c r="L84" s="86">
        <f>IFERROR(L40/K40-1,"")</f>
        <v>-0.23051338944501321</v>
      </c>
      <c r="M84" s="86"/>
      <c r="N84" s="86"/>
      <c r="O84" s="86">
        <f>IFERROR(O40/N40-1,"")</f>
        <v>9.7188246531946243E-2</v>
      </c>
      <c r="P84" s="86"/>
      <c r="Q84" s="86"/>
      <c r="R84" s="86">
        <f>IFERROR(R40/Q40-1,"")</f>
        <v>-0.35706432514267961</v>
      </c>
      <c r="S84" s="86"/>
      <c r="T84" s="86"/>
      <c r="U84" s="86">
        <f>IFERROR(U40/T40-1,"")</f>
        <v>0.13198157964322754</v>
      </c>
      <c r="V84" s="86"/>
      <c r="W84" s="86"/>
      <c r="X84" s="86" t="str">
        <f>IFERROR(X40/W40-1,"")</f>
        <v/>
      </c>
      <c r="Y84" s="86"/>
      <c r="Z84" s="86"/>
      <c r="AA84" s="86">
        <f>IFERROR(AA40/Z40-1,"")</f>
        <v>-42.43456988295241</v>
      </c>
      <c r="AB84" s="86"/>
      <c r="AC84" s="86"/>
      <c r="AD84" s="86">
        <f>IFERROR(AD40/AC40-1,"")</f>
        <v>6.3636477976933836E-2</v>
      </c>
      <c r="AE84" s="86"/>
      <c r="AF84" s="86"/>
      <c r="AG84" s="86">
        <f>IFERROR(AG40/AF40-1,"")</f>
        <v>1.0538492130728327E-2</v>
      </c>
      <c r="AH84" s="86"/>
    </row>
    <row r="85" spans="1:34" x14ac:dyDescent="0.2">
      <c r="A85" s="216"/>
      <c r="T85" s="86"/>
      <c r="U85" s="86"/>
      <c r="V85" s="86"/>
      <c r="W85" s="86"/>
      <c r="X85" s="86"/>
      <c r="Y85" s="86"/>
      <c r="Z85" s="86"/>
      <c r="AA85" s="86"/>
      <c r="AB85" s="86"/>
      <c r="AC85" s="86"/>
      <c r="AD85" s="86"/>
      <c r="AE85" s="294"/>
    </row>
    <row r="86" spans="1:34" x14ac:dyDescent="0.2">
      <c r="A86" s="216"/>
    </row>
    <row r="87" spans="1:34" x14ac:dyDescent="0.2">
      <c r="A87" s="216"/>
    </row>
    <row r="88" spans="1:34" x14ac:dyDescent="0.2">
      <c r="A88" s="216"/>
    </row>
    <row r="89" spans="1:34" x14ac:dyDescent="0.2">
      <c r="A89" s="216"/>
    </row>
    <row r="90" spans="1:34" x14ac:dyDescent="0.2">
      <c r="A90" s="216"/>
    </row>
    <row r="91" spans="1:34" x14ac:dyDescent="0.2">
      <c r="A91" s="216"/>
    </row>
    <row r="92" spans="1:34" x14ac:dyDescent="0.2">
      <c r="A92" s="216"/>
    </row>
    <row r="93" spans="1:34" x14ac:dyDescent="0.2">
      <c r="A93" s="216"/>
    </row>
    <row r="94" spans="1:34" x14ac:dyDescent="0.2">
      <c r="A94" s="216"/>
    </row>
    <row r="95" spans="1:34" x14ac:dyDescent="0.2">
      <c r="A95" s="216"/>
    </row>
    <row r="96" spans="1:34"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216"/>
    </row>
    <row r="127" spans="1:1" x14ac:dyDescent="0.2">
      <c r="A127" s="333" t="s">
        <v>103</v>
      </c>
    </row>
    <row r="128" spans="1:1" x14ac:dyDescent="0.2">
      <c r="A128" s="333"/>
    </row>
    <row r="129" spans="1:31" x14ac:dyDescent="0.2">
      <c r="A129" s="333" t="s">
        <v>447</v>
      </c>
    </row>
    <row r="130" spans="1:31" x14ac:dyDescent="0.2">
      <c r="A130" s="333"/>
    </row>
    <row r="131" spans="1:31" ht="24" x14ac:dyDescent="0.2">
      <c r="A131" s="244" t="s">
        <v>448</v>
      </c>
    </row>
    <row r="132" spans="1:31" x14ac:dyDescent="0.2">
      <c r="A132" s="216"/>
    </row>
    <row r="133" spans="1:31" x14ac:dyDescent="0.2">
      <c r="A133" s="216"/>
    </row>
    <row r="134" spans="1:31" x14ac:dyDescent="0.2">
      <c r="A134" s="216"/>
    </row>
    <row r="135" spans="1:31" x14ac:dyDescent="0.2">
      <c r="A135" s="216"/>
    </row>
    <row r="136" spans="1:31" x14ac:dyDescent="0.2">
      <c r="A136" s="216"/>
    </row>
    <row r="137" spans="1:31" x14ac:dyDescent="0.2">
      <c r="A137" s="216"/>
    </row>
    <row r="138" spans="1:31" x14ac:dyDescent="0.2">
      <c r="A138" s="216"/>
    </row>
    <row r="139" spans="1:31" x14ac:dyDescent="0.2">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45"/>
      <c r="AE139" s="245"/>
    </row>
    <row r="140" spans="1:31" x14ac:dyDescent="0.2">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245"/>
      <c r="AE140" s="245"/>
    </row>
    <row r="142" spans="1:31" x14ac:dyDescent="0.2">
      <c r="A142" s="244"/>
    </row>
    <row r="143" spans="1:31" x14ac:dyDescent="0.2">
      <c r="A143" s="216"/>
    </row>
    <row r="144" spans="1:31" x14ac:dyDescent="0.2">
      <c r="A144" s="216"/>
    </row>
    <row r="145" spans="1:31" x14ac:dyDescent="0.2">
      <c r="A145" s="216"/>
    </row>
    <row r="146" spans="1:31" x14ac:dyDescent="0.2">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c r="AC146" s="245"/>
      <c r="AD146" s="245"/>
      <c r="AE146" s="245"/>
    </row>
    <row r="149" spans="1:31" x14ac:dyDescent="0.2">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45"/>
      <c r="AE149" s="245"/>
    </row>
    <row r="152" spans="1:31" x14ac:dyDescent="0.2">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c r="AE152" s="245"/>
    </row>
    <row r="154" spans="1:31" x14ac:dyDescent="0.2">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c r="AE154" s="245"/>
    </row>
    <row r="159" spans="1:31" x14ac:dyDescent="0.2">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c r="Y159" s="228"/>
      <c r="Z159" s="228"/>
      <c r="AA159" s="228"/>
      <c r="AB159" s="228"/>
      <c r="AC159" s="228"/>
      <c r="AD159" s="228"/>
      <c r="AE159" s="228"/>
    </row>
    <row r="168" spans="1:31" s="216" customFormat="1" x14ac:dyDescent="0.2">
      <c r="A168" s="214"/>
    </row>
    <row r="169" spans="1:31" s="216" customFormat="1" x14ac:dyDescent="0.2"/>
    <row r="170" spans="1:31" s="216" customFormat="1" x14ac:dyDescent="0.2"/>
    <row r="175" spans="1:31" x14ac:dyDescent="0.2">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5"/>
    </row>
    <row r="180" spans="2:31" x14ac:dyDescent="0.2">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45"/>
      <c r="AE180" s="245"/>
    </row>
    <row r="185" spans="2:31" x14ac:dyDescent="0.2">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row>
    <row r="186" spans="2:31" x14ac:dyDescent="0.2">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c r="AE186" s="245"/>
    </row>
    <row r="190" spans="2:31" x14ac:dyDescent="0.2">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c r="AC190" s="245"/>
      <c r="AD190" s="245"/>
      <c r="AE190" s="245"/>
    </row>
    <row r="196" spans="2:31" x14ac:dyDescent="0.2">
      <c r="B196" s="228"/>
      <c r="C196" s="216"/>
      <c r="D196" s="216"/>
      <c r="E196" s="228"/>
      <c r="F196" s="216"/>
      <c r="G196" s="216"/>
      <c r="H196" s="228"/>
      <c r="I196" s="216"/>
      <c r="J196" s="216"/>
      <c r="K196" s="228"/>
      <c r="L196" s="216"/>
      <c r="M196" s="216"/>
      <c r="N196" s="228"/>
      <c r="O196" s="216"/>
      <c r="P196" s="216"/>
      <c r="Q196" s="228"/>
      <c r="R196" s="216"/>
      <c r="S196" s="216"/>
      <c r="T196" s="228"/>
      <c r="U196" s="216"/>
      <c r="V196" s="216"/>
      <c r="W196" s="228"/>
      <c r="X196" s="216"/>
      <c r="Y196" s="216"/>
      <c r="Z196" s="228"/>
      <c r="AA196" s="216"/>
      <c r="AB196" s="216"/>
      <c r="AC196" s="228"/>
      <c r="AD196" s="216"/>
      <c r="AE196" s="216"/>
    </row>
    <row r="197" spans="2:31" x14ac:dyDescent="0.2">
      <c r="B197" s="228"/>
      <c r="C197" s="216"/>
      <c r="D197" s="216"/>
      <c r="E197" s="228"/>
      <c r="F197" s="216"/>
      <c r="G197" s="216"/>
      <c r="H197" s="228"/>
      <c r="I197" s="216"/>
      <c r="J197" s="216"/>
      <c r="K197" s="228"/>
      <c r="L197" s="216"/>
      <c r="M197" s="216"/>
      <c r="N197" s="228"/>
      <c r="O197" s="216"/>
      <c r="P197" s="216"/>
      <c r="Q197" s="228"/>
      <c r="R197" s="216"/>
      <c r="S197" s="216"/>
      <c r="T197" s="228"/>
      <c r="U197" s="216"/>
      <c r="V197" s="216"/>
      <c r="W197" s="228"/>
      <c r="X197" s="216"/>
      <c r="Y197" s="216"/>
      <c r="Z197" s="228"/>
      <c r="AA197" s="216"/>
      <c r="AB197" s="216"/>
      <c r="AC197" s="228"/>
      <c r="AD197" s="216"/>
      <c r="AE197" s="216"/>
    </row>
    <row r="198" spans="2:31" x14ac:dyDescent="0.2">
      <c r="B198" s="246"/>
      <c r="C198" s="245"/>
      <c r="D198" s="245"/>
      <c r="E198" s="246"/>
      <c r="F198" s="245"/>
      <c r="G198" s="245"/>
      <c r="H198" s="246"/>
      <c r="I198" s="245"/>
      <c r="J198" s="245"/>
      <c r="K198" s="246"/>
      <c r="L198" s="245"/>
      <c r="M198" s="245"/>
      <c r="N198" s="246"/>
      <c r="O198" s="245"/>
      <c r="P198" s="245"/>
      <c r="Q198" s="246"/>
      <c r="R198" s="245"/>
      <c r="S198" s="245"/>
      <c r="T198" s="246"/>
      <c r="U198" s="245"/>
      <c r="V198" s="245"/>
      <c r="W198" s="246"/>
      <c r="X198" s="245"/>
      <c r="Y198" s="245"/>
      <c r="Z198" s="246"/>
      <c r="AA198" s="245"/>
      <c r="AB198" s="245"/>
      <c r="AC198" s="246"/>
      <c r="AD198" s="245"/>
      <c r="AE198" s="245"/>
    </row>
    <row r="199" spans="2:31" x14ac:dyDescent="0.2">
      <c r="B199" s="246"/>
      <c r="C199" s="245"/>
      <c r="D199" s="245"/>
      <c r="E199" s="246"/>
      <c r="F199" s="245"/>
      <c r="G199" s="245"/>
      <c r="H199" s="246"/>
      <c r="I199" s="245"/>
      <c r="J199" s="245"/>
      <c r="K199" s="246"/>
      <c r="L199" s="245"/>
      <c r="M199" s="245"/>
      <c r="N199" s="246"/>
      <c r="O199" s="245"/>
      <c r="P199" s="245"/>
      <c r="Q199" s="246"/>
      <c r="R199" s="245"/>
      <c r="S199" s="245"/>
      <c r="T199" s="246"/>
      <c r="U199" s="245"/>
      <c r="V199" s="245"/>
      <c r="W199" s="246"/>
      <c r="X199" s="245"/>
      <c r="Y199" s="245"/>
      <c r="Z199" s="246"/>
      <c r="AA199" s="245"/>
      <c r="AB199" s="245"/>
      <c r="AC199" s="246"/>
      <c r="AD199" s="245"/>
      <c r="AE199" s="245"/>
    </row>
    <row r="200" spans="2:31" x14ac:dyDescent="0.2">
      <c r="B200" s="246"/>
      <c r="C200" s="245"/>
      <c r="D200" s="245"/>
      <c r="E200" s="246"/>
      <c r="F200" s="245"/>
      <c r="G200" s="245"/>
      <c r="H200" s="246"/>
      <c r="I200" s="245"/>
      <c r="J200" s="245"/>
      <c r="K200" s="246"/>
      <c r="L200" s="245"/>
      <c r="M200" s="245"/>
      <c r="N200" s="246"/>
      <c r="O200" s="245"/>
      <c r="P200" s="245"/>
      <c r="Q200" s="246"/>
      <c r="R200" s="245"/>
      <c r="S200" s="245"/>
      <c r="T200" s="246"/>
      <c r="U200" s="245"/>
      <c r="V200" s="245"/>
      <c r="W200" s="246"/>
      <c r="X200" s="245"/>
      <c r="Y200" s="245"/>
      <c r="Z200" s="246"/>
      <c r="AA200" s="245"/>
      <c r="AB200" s="245"/>
      <c r="AC200" s="246"/>
      <c r="AD200" s="245"/>
      <c r="AE200" s="245"/>
    </row>
    <row r="201" spans="2:31" x14ac:dyDescent="0.2">
      <c r="B201" s="246"/>
      <c r="C201" s="245"/>
      <c r="D201" s="245"/>
      <c r="E201" s="246"/>
      <c r="F201" s="245"/>
      <c r="G201" s="245"/>
      <c r="H201" s="246"/>
      <c r="I201" s="245"/>
      <c r="J201" s="245"/>
      <c r="K201" s="246"/>
      <c r="L201" s="245"/>
      <c r="M201" s="245"/>
      <c r="N201" s="246"/>
      <c r="O201" s="245"/>
      <c r="P201" s="245"/>
      <c r="Q201" s="246"/>
      <c r="R201" s="245"/>
      <c r="S201" s="245"/>
      <c r="T201" s="246"/>
      <c r="U201" s="245"/>
      <c r="V201" s="245"/>
      <c r="W201" s="246"/>
      <c r="X201" s="245"/>
      <c r="Y201" s="245"/>
      <c r="Z201" s="246"/>
      <c r="AA201" s="245"/>
      <c r="AB201" s="245"/>
      <c r="AC201" s="246"/>
      <c r="AD201" s="245"/>
      <c r="AE201" s="245"/>
    </row>
    <row r="202" spans="2:31" x14ac:dyDescent="0.2">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45"/>
      <c r="AE202" s="245"/>
    </row>
    <row r="203" spans="2:31" x14ac:dyDescent="0.2">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row>
    <row r="204" spans="2:31" x14ac:dyDescent="0.2">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row>
    <row r="205" spans="2:31" x14ac:dyDescent="0.2">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row>
    <row r="206" spans="2:31" x14ac:dyDescent="0.2">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row>
    <row r="207" spans="2:31" x14ac:dyDescent="0.2">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row>
    <row r="208" spans="2:31" x14ac:dyDescent="0.2">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row>
    <row r="209" spans="2:31" x14ac:dyDescent="0.2">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row>
    <row r="210" spans="2:31" x14ac:dyDescent="0.2">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row>
    <row r="211" spans="2:31" x14ac:dyDescent="0.2">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row>
    <row r="212" spans="2:31" x14ac:dyDescent="0.2">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row>
    <row r="213" spans="2:31" x14ac:dyDescent="0.2">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row>
    <row r="214" spans="2:31" x14ac:dyDescent="0.2">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row>
    <row r="215" spans="2:31" x14ac:dyDescent="0.2">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row>
    <row r="216" spans="2:31" x14ac:dyDescent="0.2">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row>
    <row r="217" spans="2:31" x14ac:dyDescent="0.2">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row>
    <row r="218" spans="2:31" x14ac:dyDescent="0.2">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row>
    <row r="219" spans="2:31" x14ac:dyDescent="0.2">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row>
    <row r="220" spans="2:31" x14ac:dyDescent="0.2">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row>
    <row r="221" spans="2:31" x14ac:dyDescent="0.2">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row>
    <row r="222" spans="2:31" x14ac:dyDescent="0.2">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row>
    <row r="223" spans="2:31" x14ac:dyDescent="0.2">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row>
    <row r="224" spans="2:31" x14ac:dyDescent="0.2">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row>
    <row r="225" spans="2:31" x14ac:dyDescent="0.2">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row>
  </sheetData>
  <sheetProtection selectLockedCells="1" selectUnlockedCells="1"/>
  <mergeCells count="34">
    <mergeCell ref="A129:A130"/>
    <mergeCell ref="AC6:AD6"/>
    <mergeCell ref="A127:A128"/>
    <mergeCell ref="T6:V6"/>
    <mergeCell ref="W6:Y6"/>
    <mergeCell ref="B6:D6"/>
    <mergeCell ref="E6:G6"/>
    <mergeCell ref="B4:D4"/>
    <mergeCell ref="B3:D3"/>
    <mergeCell ref="E4:G4"/>
    <mergeCell ref="E3:G3"/>
    <mergeCell ref="H4:J4"/>
    <mergeCell ref="H3:J3"/>
    <mergeCell ref="Q4:S4"/>
    <mergeCell ref="Q3:S3"/>
    <mergeCell ref="Q6:S6"/>
    <mergeCell ref="T3:V3"/>
    <mergeCell ref="T4:V4"/>
    <mergeCell ref="Z4:AB4"/>
    <mergeCell ref="Z3:AB3"/>
    <mergeCell ref="H6:J6"/>
    <mergeCell ref="AF6:AH6"/>
    <mergeCell ref="Z6:AB6"/>
    <mergeCell ref="K3:M3"/>
    <mergeCell ref="K4:M4"/>
    <mergeCell ref="K6:M6"/>
    <mergeCell ref="N3:P3"/>
    <mergeCell ref="N4:P4"/>
    <mergeCell ref="N6:P6"/>
    <mergeCell ref="AC4:AE4"/>
    <mergeCell ref="AC3:AE3"/>
    <mergeCell ref="AF3:AH4"/>
    <mergeCell ref="W3:Y3"/>
    <mergeCell ref="W4:Y4"/>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532A3-090B-4168-B922-978F024F8DFC}">
  <sheetPr codeName="Hoja15">
    <tabColor theme="3" tint="-0.249977111117893"/>
  </sheetPr>
  <dimension ref="A1:CW225"/>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C6"/>
    </sheetView>
  </sheetViews>
  <sheetFormatPr baseColWidth="10" defaultColWidth="15" defaultRowHeight="12" x14ac:dyDescent="0.2"/>
  <cols>
    <col min="1" max="1" width="49.140625" style="214" bestFit="1" customWidth="1"/>
    <col min="2" max="2" width="18.140625" style="214" bestFit="1" customWidth="1"/>
    <col min="3" max="3" width="18.85546875" style="214" bestFit="1" customWidth="1"/>
    <col min="4" max="4" width="20.42578125" style="214" bestFit="1" customWidth="1"/>
    <col min="5" max="6" width="18.85546875" style="214" bestFit="1" customWidth="1"/>
    <col min="7" max="7" width="19.140625" style="214" bestFit="1" customWidth="1"/>
    <col min="8" max="9" width="18.5703125" style="214" bestFit="1" customWidth="1"/>
    <col min="10" max="10" width="22.42578125" style="214" customWidth="1"/>
    <col min="11" max="11" width="21.140625" style="214" customWidth="1"/>
    <col min="12" max="12" width="15.5703125" style="214" bestFit="1" customWidth="1"/>
    <col min="13" max="13" width="15.42578125" style="214" bestFit="1" customWidth="1"/>
    <col min="14" max="14" width="18.85546875" style="214" bestFit="1" customWidth="1"/>
    <col min="15" max="15" width="18.5703125" style="214" bestFit="1" customWidth="1"/>
    <col min="16" max="16" width="20.85546875" style="214" bestFit="1" customWidth="1"/>
    <col min="17" max="17" width="21.5703125" style="214" bestFit="1" customWidth="1"/>
    <col min="18" max="19" width="18.5703125" style="214" bestFit="1" customWidth="1"/>
    <col min="20" max="20" width="27.42578125" style="214" customWidth="1"/>
    <col min="21" max="22" width="27.7109375" style="214" customWidth="1"/>
    <col min="23" max="23" width="27.42578125" style="214" customWidth="1"/>
    <col min="24" max="24" width="27.7109375" style="214" customWidth="1"/>
    <col min="25" max="25" width="27.42578125" style="214" customWidth="1"/>
    <col min="26" max="26" width="27.7109375" style="214" customWidth="1"/>
    <col min="27" max="27" width="27.42578125" style="214" customWidth="1"/>
    <col min="28" max="28" width="27.7109375" style="214" customWidth="1"/>
    <col min="29" max="29" width="19.85546875" style="214" customWidth="1"/>
    <col min="30" max="30" width="18.140625" style="214" customWidth="1"/>
    <col min="31" max="31" width="27.42578125" style="214" customWidth="1"/>
    <col min="32" max="32" width="27.7109375" style="214" customWidth="1"/>
    <col min="33" max="33" width="27.42578125" style="214" customWidth="1"/>
    <col min="34" max="34" width="27.7109375" style="214" customWidth="1"/>
    <col min="35" max="35" width="27.42578125" style="214" customWidth="1"/>
    <col min="36" max="36" width="27.7109375" style="214" customWidth="1"/>
    <col min="37" max="37" width="27.42578125" style="214" customWidth="1"/>
    <col min="38" max="38" width="27.7109375" style="214" customWidth="1"/>
    <col min="39" max="39" width="27.42578125" style="214" customWidth="1"/>
    <col min="40" max="40" width="27.7109375" style="214" customWidth="1"/>
    <col min="41" max="41" width="27.42578125" style="214" customWidth="1"/>
    <col min="42" max="42" width="27.7109375" style="214" customWidth="1"/>
    <col min="43" max="43" width="27.42578125" style="214" customWidth="1"/>
    <col min="44" max="44" width="27.7109375" style="214" customWidth="1"/>
    <col min="45" max="45" width="27.42578125" style="214" customWidth="1"/>
    <col min="46" max="46" width="27.7109375" style="214" customWidth="1"/>
    <col min="47" max="47" width="27.42578125" style="214" customWidth="1"/>
    <col min="48" max="48" width="27.7109375" style="214" customWidth="1"/>
    <col min="49" max="49" width="27.42578125" style="214" customWidth="1"/>
    <col min="50" max="50" width="27.7109375" style="214" customWidth="1"/>
    <col min="51" max="51" width="27.42578125" style="214" customWidth="1"/>
    <col min="52" max="52" width="27.7109375" style="214" customWidth="1"/>
    <col min="53" max="53" width="27.42578125" style="214" customWidth="1"/>
    <col min="54" max="54" width="27.7109375" style="214" customWidth="1"/>
    <col min="55" max="55" width="27.42578125" style="214" customWidth="1"/>
    <col min="56" max="56" width="27.7109375" style="214" customWidth="1"/>
    <col min="57" max="57" width="27.42578125" style="214" customWidth="1"/>
    <col min="58" max="58" width="27.7109375" style="214" customWidth="1"/>
    <col min="59" max="59" width="27.42578125" style="214" customWidth="1"/>
    <col min="60" max="60" width="27.7109375" style="214" customWidth="1"/>
    <col min="61" max="61" width="24.42578125" style="214" customWidth="1"/>
    <col min="62" max="62" width="22.85546875" style="214" customWidth="1"/>
    <col min="63" max="63" width="24.42578125" style="214" customWidth="1"/>
    <col min="64" max="64" width="22.85546875" style="214" customWidth="1"/>
    <col min="65" max="65" width="22.28515625" style="214" customWidth="1"/>
    <col min="66" max="66" width="27.7109375" style="214" customWidth="1"/>
    <col min="67" max="67" width="22.28515625" style="214" customWidth="1"/>
    <col min="68" max="68" width="27.7109375" style="214" customWidth="1"/>
    <col min="69" max="69" width="15.42578125" style="214" customWidth="1"/>
    <col min="70" max="70" width="16" style="214" customWidth="1"/>
    <col min="71" max="71" width="8.42578125" style="214" customWidth="1"/>
    <col min="72" max="72" width="20.140625" style="214" customWidth="1"/>
    <col min="73" max="73" width="18.7109375" style="214" customWidth="1"/>
    <col min="74" max="74" width="21.140625" style="214" customWidth="1"/>
    <col min="75" max="75" width="18.7109375" style="214" customWidth="1"/>
    <col min="76" max="76" width="21.140625" style="214" customWidth="1"/>
    <col min="77" max="77" width="18.7109375" style="214" customWidth="1"/>
    <col min="78" max="78" width="21.140625" style="214" customWidth="1"/>
    <col min="79" max="79" width="18.7109375" style="214" customWidth="1"/>
    <col min="80" max="90" width="21.140625" style="214" customWidth="1"/>
    <col min="91" max="91" width="22.28515625" style="214" customWidth="1"/>
    <col min="92" max="92" width="27.7109375" style="214" customWidth="1"/>
    <col min="93" max="93" width="27.7109375" style="214" hidden="1" customWidth="1"/>
    <col min="94" max="94" width="22.28515625" style="214" customWidth="1"/>
    <col min="95" max="95" width="27.7109375" style="214" customWidth="1"/>
    <col min="96" max="96" width="22.28515625" style="214" customWidth="1"/>
    <col min="97" max="97" width="27.7109375" style="214" customWidth="1"/>
    <col min="98" max="98" width="22.28515625" style="214" customWidth="1"/>
    <col min="99" max="99" width="27.7109375" style="214" customWidth="1"/>
    <col min="100" max="100" width="25.5703125" style="214" customWidth="1"/>
    <col min="101" max="101" width="23" style="214" customWidth="1"/>
    <col min="102" max="16384" width="15" style="214"/>
  </cols>
  <sheetData>
    <row r="1" spans="1:101" ht="18" x14ac:dyDescent="0.2">
      <c r="A1" s="248"/>
      <c r="B1" s="305" t="s">
        <v>465</v>
      </c>
    </row>
    <row r="2" spans="1:101" x14ac:dyDescent="0.2">
      <c r="A2" s="248"/>
    </row>
    <row r="3" spans="1:101" x14ac:dyDescent="0.2">
      <c r="A3" s="248"/>
      <c r="B3" s="353" t="s">
        <v>185</v>
      </c>
      <c r="C3" s="353"/>
      <c r="D3" s="353" t="s">
        <v>185</v>
      </c>
      <c r="E3" s="353"/>
      <c r="F3" s="353" t="s">
        <v>185</v>
      </c>
      <c r="G3" s="353"/>
      <c r="H3" s="353" t="s">
        <v>185</v>
      </c>
      <c r="I3" s="353"/>
      <c r="J3" s="353" t="s">
        <v>185</v>
      </c>
      <c r="K3" s="353"/>
      <c r="L3" s="353" t="s">
        <v>185</v>
      </c>
      <c r="M3" s="353"/>
      <c r="N3" s="353" t="s">
        <v>185</v>
      </c>
      <c r="O3" s="353"/>
      <c r="P3" s="353" t="s">
        <v>185</v>
      </c>
      <c r="Q3" s="353"/>
      <c r="R3" s="353" t="s">
        <v>185</v>
      </c>
      <c r="S3" s="353"/>
      <c r="T3" s="338" t="s">
        <v>185</v>
      </c>
      <c r="U3" s="339"/>
      <c r="V3" s="340"/>
      <c r="W3" s="353" t="s">
        <v>185</v>
      </c>
      <c r="X3" s="353"/>
      <c r="Y3" s="353" t="s">
        <v>185</v>
      </c>
      <c r="Z3" s="353"/>
      <c r="AA3" s="353" t="s">
        <v>185</v>
      </c>
      <c r="AB3" s="353"/>
      <c r="AC3" s="353" t="s">
        <v>185</v>
      </c>
      <c r="AD3" s="353"/>
      <c r="AE3" s="353" t="s">
        <v>185</v>
      </c>
      <c r="AF3" s="353"/>
      <c r="AG3" s="353" t="s">
        <v>185</v>
      </c>
      <c r="AH3" s="353"/>
      <c r="AI3" s="353" t="s">
        <v>185</v>
      </c>
      <c r="AJ3" s="353"/>
      <c r="AK3" s="353" t="s">
        <v>185</v>
      </c>
      <c r="AL3" s="353"/>
      <c r="AM3" s="353" t="s">
        <v>185</v>
      </c>
      <c r="AN3" s="353"/>
      <c r="AO3" s="353" t="s">
        <v>185</v>
      </c>
      <c r="AP3" s="353"/>
      <c r="AQ3" s="353" t="s">
        <v>185</v>
      </c>
      <c r="AR3" s="353"/>
      <c r="AS3" s="353" t="s">
        <v>185</v>
      </c>
      <c r="AT3" s="353"/>
      <c r="AU3" s="353" t="s">
        <v>185</v>
      </c>
      <c r="AV3" s="353"/>
      <c r="AW3" s="353" t="s">
        <v>185</v>
      </c>
      <c r="AX3" s="353"/>
      <c r="AY3" s="353" t="s">
        <v>185</v>
      </c>
      <c r="AZ3" s="353"/>
      <c r="BA3" s="353" t="s">
        <v>185</v>
      </c>
      <c r="BB3" s="353"/>
      <c r="BC3" s="353" t="s">
        <v>185</v>
      </c>
      <c r="BD3" s="353"/>
      <c r="BE3" s="353" t="s">
        <v>185</v>
      </c>
      <c r="BF3" s="353"/>
      <c r="BG3" s="353" t="s">
        <v>185</v>
      </c>
      <c r="BH3" s="353"/>
      <c r="BI3" s="353" t="s">
        <v>185</v>
      </c>
      <c r="BJ3" s="353"/>
      <c r="BK3" s="353" t="s">
        <v>185</v>
      </c>
      <c r="BL3" s="353"/>
      <c r="BM3" s="353" t="s">
        <v>185</v>
      </c>
      <c r="BN3" s="353"/>
      <c r="BO3" s="353" t="s">
        <v>185</v>
      </c>
      <c r="BP3" s="353"/>
      <c r="BQ3" s="353" t="s">
        <v>185</v>
      </c>
      <c r="BR3" s="353"/>
      <c r="BS3" s="353" t="s">
        <v>185</v>
      </c>
      <c r="BT3" s="353"/>
      <c r="BU3" s="353" t="s">
        <v>185</v>
      </c>
      <c r="BV3" s="353"/>
      <c r="BW3" s="353" t="s">
        <v>185</v>
      </c>
      <c r="BX3" s="353"/>
      <c r="BY3" s="353" t="s">
        <v>185</v>
      </c>
      <c r="BZ3" s="353"/>
      <c r="CA3" s="353" t="s">
        <v>185</v>
      </c>
      <c r="CB3" s="353"/>
      <c r="CC3" s="353" t="s">
        <v>185</v>
      </c>
      <c r="CD3" s="353"/>
      <c r="CE3" s="353" t="s">
        <v>185</v>
      </c>
      <c r="CF3" s="353"/>
      <c r="CG3" s="353" t="s">
        <v>185</v>
      </c>
      <c r="CH3" s="353"/>
      <c r="CI3" s="353" t="s">
        <v>185</v>
      </c>
      <c r="CJ3" s="353"/>
      <c r="CK3" s="353" t="s">
        <v>185</v>
      </c>
      <c r="CL3" s="353"/>
      <c r="CM3" s="338" t="s">
        <v>185</v>
      </c>
      <c r="CN3" s="339"/>
      <c r="CO3" s="340"/>
      <c r="CP3" s="353" t="s">
        <v>185</v>
      </c>
      <c r="CQ3" s="353"/>
      <c r="CR3" s="353" t="s">
        <v>185</v>
      </c>
      <c r="CS3" s="353"/>
      <c r="CT3" s="353" t="s">
        <v>185</v>
      </c>
      <c r="CU3" s="353"/>
      <c r="CV3" s="355" t="s">
        <v>92</v>
      </c>
      <c r="CW3" s="357"/>
    </row>
    <row r="4" spans="1:101" s="215" customFormat="1" ht="41.1" customHeight="1" x14ac:dyDescent="0.2">
      <c r="A4" s="248"/>
      <c r="B4" s="362" t="s">
        <v>210</v>
      </c>
      <c r="C4" s="362"/>
      <c r="D4" s="362" t="s">
        <v>211</v>
      </c>
      <c r="E4" s="362"/>
      <c r="F4" s="362" t="s">
        <v>212</v>
      </c>
      <c r="G4" s="362"/>
      <c r="H4" s="362" t="s">
        <v>325</v>
      </c>
      <c r="I4" s="362"/>
      <c r="J4" s="362" t="s">
        <v>326</v>
      </c>
      <c r="K4" s="362"/>
      <c r="L4" s="362" t="s">
        <v>327</v>
      </c>
      <c r="M4" s="362"/>
      <c r="N4" s="362" t="s">
        <v>328</v>
      </c>
      <c r="O4" s="362"/>
      <c r="P4" s="362" t="s">
        <v>329</v>
      </c>
      <c r="Q4" s="362"/>
      <c r="R4" s="362" t="s">
        <v>330</v>
      </c>
      <c r="S4" s="362"/>
      <c r="T4" s="344" t="s">
        <v>331</v>
      </c>
      <c r="U4" s="345"/>
      <c r="V4" s="346"/>
      <c r="W4" s="362" t="s">
        <v>332</v>
      </c>
      <c r="X4" s="363"/>
      <c r="Y4" s="362" t="s">
        <v>407</v>
      </c>
      <c r="Z4" s="363"/>
      <c r="AA4" s="362" t="s">
        <v>333</v>
      </c>
      <c r="AB4" s="363"/>
      <c r="AC4" s="362" t="s">
        <v>334</v>
      </c>
      <c r="AD4" s="363"/>
      <c r="AE4" s="362" t="s">
        <v>335</v>
      </c>
      <c r="AF4" s="363"/>
      <c r="AG4" s="362" t="s">
        <v>336</v>
      </c>
      <c r="AH4" s="363"/>
      <c r="AI4" s="362" t="s">
        <v>337</v>
      </c>
      <c r="AJ4" s="363"/>
      <c r="AK4" s="362" t="s">
        <v>338</v>
      </c>
      <c r="AL4" s="363"/>
      <c r="AM4" s="362" t="s">
        <v>213</v>
      </c>
      <c r="AN4" s="363"/>
      <c r="AO4" s="362" t="s">
        <v>214</v>
      </c>
      <c r="AP4" s="363"/>
      <c r="AQ4" s="362" t="s">
        <v>339</v>
      </c>
      <c r="AR4" s="363"/>
      <c r="AS4" s="362" t="s">
        <v>340</v>
      </c>
      <c r="AT4" s="363"/>
      <c r="AU4" s="362" t="s">
        <v>341</v>
      </c>
      <c r="AV4" s="363"/>
      <c r="AW4" s="362" t="s">
        <v>215</v>
      </c>
      <c r="AX4" s="363"/>
      <c r="AY4" s="362" t="s">
        <v>342</v>
      </c>
      <c r="AZ4" s="363"/>
      <c r="BA4" s="362" t="s">
        <v>343</v>
      </c>
      <c r="BB4" s="363"/>
      <c r="BC4" s="362" t="s">
        <v>216</v>
      </c>
      <c r="BD4" s="363"/>
      <c r="BE4" s="362" t="s">
        <v>217</v>
      </c>
      <c r="BF4" s="363"/>
      <c r="BG4" s="362" t="s">
        <v>344</v>
      </c>
      <c r="BH4" s="363"/>
      <c r="BI4" s="362" t="s">
        <v>218</v>
      </c>
      <c r="BJ4" s="363"/>
      <c r="BK4" s="362" t="s">
        <v>473</v>
      </c>
      <c r="BL4" s="363"/>
      <c r="BM4" s="362" t="s">
        <v>345</v>
      </c>
      <c r="BN4" s="363"/>
      <c r="BO4" s="362" t="s">
        <v>346</v>
      </c>
      <c r="BP4" s="363"/>
      <c r="BQ4" s="354" t="s">
        <v>266</v>
      </c>
      <c r="BR4" s="354"/>
      <c r="BS4" s="354" t="s">
        <v>267</v>
      </c>
      <c r="BT4" s="354"/>
      <c r="BU4" s="354" t="s">
        <v>347</v>
      </c>
      <c r="BV4" s="354"/>
      <c r="BW4" s="354" t="s">
        <v>417</v>
      </c>
      <c r="BX4" s="354"/>
      <c r="BY4" s="354" t="s">
        <v>418</v>
      </c>
      <c r="BZ4" s="354"/>
      <c r="CA4" s="354" t="s">
        <v>419</v>
      </c>
      <c r="CB4" s="353"/>
      <c r="CC4" s="354" t="s">
        <v>420</v>
      </c>
      <c r="CD4" s="353"/>
      <c r="CE4" s="354" t="s">
        <v>421</v>
      </c>
      <c r="CF4" s="353"/>
      <c r="CG4" s="354" t="s">
        <v>422</v>
      </c>
      <c r="CH4" s="353"/>
      <c r="CI4" s="354" t="s">
        <v>423</v>
      </c>
      <c r="CJ4" s="353"/>
      <c r="CK4" s="354" t="s">
        <v>424</v>
      </c>
      <c r="CL4" s="353"/>
      <c r="CM4" s="344" t="s">
        <v>425</v>
      </c>
      <c r="CN4" s="345"/>
      <c r="CO4" s="346"/>
      <c r="CP4" s="354" t="s">
        <v>426</v>
      </c>
      <c r="CQ4" s="353"/>
      <c r="CR4" s="354" t="s">
        <v>427</v>
      </c>
      <c r="CS4" s="353"/>
      <c r="CT4" s="354" t="s">
        <v>456</v>
      </c>
      <c r="CU4" s="353"/>
      <c r="CV4" s="351"/>
      <c r="CW4" s="358"/>
    </row>
    <row r="5" spans="1:101" s="260" customFormat="1" x14ac:dyDescent="0.2">
      <c r="A5" s="259"/>
      <c r="B5" s="304">
        <v>2022</v>
      </c>
      <c r="C5" s="304">
        <v>2023</v>
      </c>
      <c r="D5" s="304">
        <v>2022</v>
      </c>
      <c r="E5" s="304">
        <v>2023</v>
      </c>
      <c r="F5" s="304">
        <v>2022</v>
      </c>
      <c r="G5" s="304">
        <v>2023</v>
      </c>
      <c r="H5" s="304">
        <v>2022</v>
      </c>
      <c r="I5" s="304">
        <v>2023</v>
      </c>
      <c r="J5" s="304">
        <v>2022</v>
      </c>
      <c r="K5" s="304">
        <v>2023</v>
      </c>
      <c r="L5" s="304">
        <v>2022</v>
      </c>
      <c r="M5" s="304">
        <v>2023</v>
      </c>
      <c r="N5" s="304">
        <v>2022</v>
      </c>
      <c r="O5" s="304">
        <v>2023</v>
      </c>
      <c r="P5" s="304">
        <v>2022</v>
      </c>
      <c r="Q5" s="304">
        <v>2023</v>
      </c>
      <c r="R5" s="304">
        <v>2022</v>
      </c>
      <c r="S5" s="304">
        <v>2023</v>
      </c>
      <c r="T5" s="304">
        <v>2022</v>
      </c>
      <c r="U5" s="304">
        <v>2023</v>
      </c>
      <c r="V5" s="304" t="s">
        <v>436</v>
      </c>
      <c r="W5" s="304">
        <v>2022</v>
      </c>
      <c r="X5" s="304">
        <v>2023</v>
      </c>
      <c r="Y5" s="304">
        <v>2022</v>
      </c>
      <c r="Z5" s="304">
        <v>2023</v>
      </c>
      <c r="AA5" s="304">
        <v>2022</v>
      </c>
      <c r="AB5" s="304">
        <v>2023</v>
      </c>
      <c r="AC5" s="304">
        <v>2022</v>
      </c>
      <c r="AD5" s="304">
        <v>2023</v>
      </c>
      <c r="AE5" s="304">
        <v>2022</v>
      </c>
      <c r="AF5" s="304">
        <v>2023</v>
      </c>
      <c r="AG5" s="304">
        <v>2022</v>
      </c>
      <c r="AH5" s="304">
        <v>2023</v>
      </c>
      <c r="AI5" s="304">
        <v>2022</v>
      </c>
      <c r="AJ5" s="304">
        <v>2023</v>
      </c>
      <c r="AK5" s="304">
        <v>2022</v>
      </c>
      <c r="AL5" s="304">
        <v>2023</v>
      </c>
      <c r="AM5" s="304">
        <v>2022</v>
      </c>
      <c r="AN5" s="304">
        <v>2023</v>
      </c>
      <c r="AO5" s="304">
        <v>2022</v>
      </c>
      <c r="AP5" s="304">
        <v>2023</v>
      </c>
      <c r="AQ5" s="304">
        <v>2022</v>
      </c>
      <c r="AR5" s="304">
        <v>2023</v>
      </c>
      <c r="AS5" s="304">
        <v>2022</v>
      </c>
      <c r="AT5" s="304">
        <v>2023</v>
      </c>
      <c r="AU5" s="304">
        <v>2022</v>
      </c>
      <c r="AV5" s="304">
        <v>2023</v>
      </c>
      <c r="AW5" s="304">
        <v>2022</v>
      </c>
      <c r="AX5" s="304">
        <v>2023</v>
      </c>
      <c r="AY5" s="304">
        <v>2022</v>
      </c>
      <c r="AZ5" s="304">
        <v>2023</v>
      </c>
      <c r="BA5" s="304">
        <v>2022</v>
      </c>
      <c r="BB5" s="304">
        <v>2023</v>
      </c>
      <c r="BC5" s="304">
        <v>2022</v>
      </c>
      <c r="BD5" s="304">
        <v>2023</v>
      </c>
      <c r="BE5" s="304">
        <v>2022</v>
      </c>
      <c r="BF5" s="304">
        <v>2023</v>
      </c>
      <c r="BG5" s="304">
        <v>2022</v>
      </c>
      <c r="BH5" s="304">
        <v>2023</v>
      </c>
      <c r="BI5" s="304">
        <v>2022</v>
      </c>
      <c r="BJ5" s="304">
        <v>2023</v>
      </c>
      <c r="BK5" s="304">
        <v>2022</v>
      </c>
      <c r="BL5" s="304">
        <v>2023</v>
      </c>
      <c r="BM5" s="304">
        <v>2022</v>
      </c>
      <c r="BN5" s="304">
        <v>2023</v>
      </c>
      <c r="BO5" s="304">
        <v>2022</v>
      </c>
      <c r="BP5" s="304">
        <v>2023</v>
      </c>
      <c r="BQ5" s="304">
        <v>2022</v>
      </c>
      <c r="BR5" s="304">
        <v>2023</v>
      </c>
      <c r="BS5" s="304">
        <v>2022</v>
      </c>
      <c r="BT5" s="304">
        <v>2023</v>
      </c>
      <c r="BU5" s="304">
        <v>2022</v>
      </c>
      <c r="BV5" s="304">
        <v>2023</v>
      </c>
      <c r="BW5" s="304">
        <v>2022</v>
      </c>
      <c r="BX5" s="304">
        <v>2023</v>
      </c>
      <c r="BY5" s="304">
        <v>2022</v>
      </c>
      <c r="BZ5" s="304">
        <v>2023</v>
      </c>
      <c r="CA5" s="304">
        <v>2022</v>
      </c>
      <c r="CB5" s="304">
        <v>2023</v>
      </c>
      <c r="CC5" s="304">
        <v>2022</v>
      </c>
      <c r="CD5" s="304">
        <v>2023</v>
      </c>
      <c r="CE5" s="304">
        <v>2022</v>
      </c>
      <c r="CF5" s="304">
        <v>2023</v>
      </c>
      <c r="CG5" s="304">
        <v>2022</v>
      </c>
      <c r="CH5" s="304">
        <v>2023</v>
      </c>
      <c r="CI5" s="304">
        <v>2022</v>
      </c>
      <c r="CJ5" s="304">
        <v>2023</v>
      </c>
      <c r="CK5" s="304">
        <v>2022</v>
      </c>
      <c r="CL5" s="304">
        <v>2023</v>
      </c>
      <c r="CM5" s="304">
        <v>2022</v>
      </c>
      <c r="CN5" s="304">
        <v>2023</v>
      </c>
      <c r="CO5" s="304" t="s">
        <v>436</v>
      </c>
      <c r="CP5" s="304">
        <v>2022</v>
      </c>
      <c r="CQ5" s="304">
        <v>2023</v>
      </c>
      <c r="CR5" s="304">
        <v>2022</v>
      </c>
      <c r="CS5" s="304">
        <v>2023</v>
      </c>
      <c r="CT5" s="304">
        <v>2022</v>
      </c>
      <c r="CU5" s="304">
        <v>2023</v>
      </c>
      <c r="CV5" s="304">
        <v>2022</v>
      </c>
      <c r="CW5" s="304">
        <v>2023</v>
      </c>
    </row>
    <row r="6" spans="1:101" x14ac:dyDescent="0.2">
      <c r="A6" s="248"/>
      <c r="B6" s="361" t="s">
        <v>246</v>
      </c>
      <c r="C6" s="361"/>
      <c r="D6" s="361" t="s">
        <v>246</v>
      </c>
      <c r="E6" s="361"/>
      <c r="F6" s="361" t="s">
        <v>246</v>
      </c>
      <c r="G6" s="361"/>
      <c r="H6" s="361"/>
      <c r="I6" s="361"/>
      <c r="J6" s="361"/>
      <c r="K6" s="361"/>
      <c r="L6" s="361"/>
      <c r="M6" s="361"/>
      <c r="N6" s="361" t="s">
        <v>246</v>
      </c>
      <c r="O6" s="361"/>
      <c r="P6" s="361"/>
      <c r="Q6" s="361"/>
      <c r="R6" s="361"/>
      <c r="S6" s="361"/>
      <c r="T6" s="364" t="s">
        <v>246</v>
      </c>
      <c r="U6" s="365"/>
      <c r="V6" s="366"/>
      <c r="W6" s="361" t="s">
        <v>246</v>
      </c>
      <c r="X6" s="361"/>
      <c r="Y6" s="361" t="s">
        <v>246</v>
      </c>
      <c r="Z6" s="361"/>
      <c r="AA6" s="361" t="s">
        <v>246</v>
      </c>
      <c r="AB6" s="361"/>
      <c r="AC6" s="361" t="s">
        <v>246</v>
      </c>
      <c r="AD6" s="361"/>
      <c r="AE6" s="361" t="s">
        <v>246</v>
      </c>
      <c r="AF6" s="361"/>
      <c r="AG6" s="361" t="s">
        <v>246</v>
      </c>
      <c r="AH6" s="361"/>
      <c r="AI6" s="361" t="s">
        <v>246</v>
      </c>
      <c r="AJ6" s="361"/>
      <c r="AK6" s="361" t="s">
        <v>246</v>
      </c>
      <c r="AL6" s="361"/>
      <c r="AM6" s="361" t="s">
        <v>246</v>
      </c>
      <c r="AN6" s="361"/>
      <c r="AO6" s="361" t="s">
        <v>246</v>
      </c>
      <c r="AP6" s="361"/>
      <c r="AQ6" s="361" t="s">
        <v>246</v>
      </c>
      <c r="AR6" s="361"/>
      <c r="AS6" s="361" t="s">
        <v>246</v>
      </c>
      <c r="AT6" s="361"/>
      <c r="AU6" s="361" t="s">
        <v>246</v>
      </c>
      <c r="AV6" s="361"/>
      <c r="AW6" s="361" t="s">
        <v>246</v>
      </c>
      <c r="AX6" s="361"/>
      <c r="AY6" s="361" t="s">
        <v>246</v>
      </c>
      <c r="AZ6" s="361"/>
      <c r="BA6" s="361" t="s">
        <v>246</v>
      </c>
      <c r="BB6" s="361"/>
      <c r="BC6" s="361" t="s">
        <v>246</v>
      </c>
      <c r="BD6" s="361"/>
      <c r="BE6" s="361" t="s">
        <v>246</v>
      </c>
      <c r="BF6" s="361"/>
      <c r="BG6" s="361" t="s">
        <v>246</v>
      </c>
      <c r="BH6" s="361"/>
      <c r="BI6" s="361" t="s">
        <v>246</v>
      </c>
      <c r="BJ6" s="361"/>
      <c r="BK6" s="361" t="s">
        <v>246</v>
      </c>
      <c r="BL6" s="361"/>
      <c r="BM6" s="361" t="s">
        <v>246</v>
      </c>
      <c r="BN6" s="361"/>
      <c r="BO6" s="361" t="s">
        <v>246</v>
      </c>
      <c r="BP6" s="361"/>
      <c r="BQ6" s="361" t="s">
        <v>246</v>
      </c>
      <c r="BR6" s="361"/>
      <c r="BS6" s="361" t="s">
        <v>246</v>
      </c>
      <c r="BT6" s="361"/>
      <c r="BU6" s="361" t="s">
        <v>246</v>
      </c>
      <c r="BV6" s="361"/>
      <c r="BW6" s="361" t="s">
        <v>246</v>
      </c>
      <c r="BX6" s="361"/>
      <c r="BY6" s="361" t="s">
        <v>246</v>
      </c>
      <c r="BZ6" s="361"/>
      <c r="CA6" s="354" t="s">
        <v>102</v>
      </c>
      <c r="CB6" s="353"/>
      <c r="CC6" s="354" t="s">
        <v>102</v>
      </c>
      <c r="CD6" s="353"/>
      <c r="CE6" s="354" t="s">
        <v>102</v>
      </c>
      <c r="CF6" s="353"/>
      <c r="CG6" s="354" t="s">
        <v>102</v>
      </c>
      <c r="CH6" s="353"/>
      <c r="CI6" s="354" t="s">
        <v>102</v>
      </c>
      <c r="CJ6" s="353"/>
      <c r="CK6" s="354" t="s">
        <v>102</v>
      </c>
      <c r="CL6" s="353"/>
      <c r="CM6" s="344" t="s">
        <v>102</v>
      </c>
      <c r="CN6" s="345"/>
      <c r="CO6" s="346"/>
      <c r="CP6" s="354" t="s">
        <v>102</v>
      </c>
      <c r="CQ6" s="353"/>
      <c r="CR6" s="354" t="s">
        <v>102</v>
      </c>
      <c r="CS6" s="353"/>
      <c r="CT6" s="354" t="s">
        <v>102</v>
      </c>
      <c r="CU6" s="353"/>
      <c r="CV6" s="361" t="s">
        <v>246</v>
      </c>
      <c r="CW6" s="361"/>
    </row>
    <row r="7" spans="1:101" s="216" customFormat="1" ht="15" x14ac:dyDescent="0.2">
      <c r="A7" s="306" t="s">
        <v>39</v>
      </c>
      <c r="B7" s="209"/>
      <c r="C7" s="211"/>
      <c r="D7" s="209"/>
      <c r="E7" s="211"/>
      <c r="F7" s="209"/>
      <c r="G7" s="211"/>
      <c r="H7" s="209"/>
      <c r="I7" s="211"/>
      <c r="J7" s="209"/>
      <c r="K7" s="211"/>
      <c r="L7" s="209"/>
      <c r="M7" s="211"/>
      <c r="N7" s="209"/>
      <c r="O7" s="211"/>
      <c r="P7" s="209"/>
      <c r="Q7" s="211"/>
      <c r="R7" s="209"/>
      <c r="S7" s="211"/>
      <c r="T7" s="209"/>
      <c r="U7" s="211"/>
      <c r="V7" s="211"/>
      <c r="W7" s="209"/>
      <c r="X7" s="211"/>
      <c r="Y7" s="209"/>
      <c r="Z7" s="211"/>
      <c r="AA7" s="209"/>
      <c r="AB7" s="211"/>
      <c r="AC7" s="209"/>
      <c r="AD7" s="211"/>
      <c r="AE7" s="209"/>
      <c r="AF7" s="211"/>
      <c r="AG7" s="209"/>
      <c r="AH7" s="211"/>
      <c r="AI7" s="209"/>
      <c r="AJ7" s="211"/>
      <c r="AK7" s="209"/>
      <c r="AL7" s="211"/>
      <c r="AM7" s="209"/>
      <c r="AN7" s="211"/>
      <c r="AO7" s="209"/>
      <c r="AP7" s="211"/>
      <c r="AQ7" s="209"/>
      <c r="AR7" s="211"/>
      <c r="AS7" s="209"/>
      <c r="AT7" s="211"/>
      <c r="AU7" s="209"/>
      <c r="AV7" s="211"/>
      <c r="AW7" s="209"/>
      <c r="AX7" s="211"/>
      <c r="AY7" s="209"/>
      <c r="AZ7" s="211"/>
      <c r="BA7" s="209"/>
      <c r="BB7" s="211"/>
      <c r="BC7" s="209"/>
      <c r="BD7" s="211"/>
      <c r="BE7" s="209"/>
      <c r="BF7" s="211"/>
      <c r="BG7" s="209"/>
      <c r="BH7" s="211"/>
      <c r="BI7" s="209"/>
      <c r="BJ7" s="211"/>
      <c r="BK7" s="209"/>
      <c r="BL7" s="211"/>
      <c r="BM7" s="209"/>
      <c r="BN7" s="211"/>
      <c r="BO7" s="209"/>
      <c r="BP7" s="211"/>
      <c r="BQ7" s="253"/>
      <c r="BR7" s="254"/>
      <c r="BS7" s="253"/>
      <c r="BT7" s="254"/>
      <c r="BU7" s="253"/>
      <c r="BV7" s="254"/>
      <c r="BW7" s="253"/>
      <c r="BX7" s="254"/>
      <c r="BY7" s="253"/>
      <c r="BZ7" s="254"/>
      <c r="CA7" s="253"/>
      <c r="CB7" s="254"/>
      <c r="CC7" s="253"/>
      <c r="CD7" s="254"/>
      <c r="CE7" s="253"/>
      <c r="CF7" s="254"/>
      <c r="CG7" s="253"/>
      <c r="CH7" s="254"/>
      <c r="CI7" s="253"/>
      <c r="CJ7" s="254"/>
      <c r="CK7" s="253"/>
      <c r="CL7" s="254"/>
      <c r="CM7" s="253"/>
      <c r="CN7" s="254"/>
      <c r="CO7" s="254"/>
      <c r="CP7" s="253"/>
      <c r="CQ7" s="254"/>
      <c r="CR7" s="253"/>
      <c r="CS7" s="254"/>
      <c r="CT7" s="253"/>
      <c r="CU7" s="254"/>
      <c r="CV7" s="253"/>
      <c r="CW7" s="254"/>
    </row>
    <row r="8" spans="1:101" s="216" customFormat="1" x14ac:dyDescent="0.2">
      <c r="B8" s="209"/>
      <c r="C8" s="211"/>
      <c r="D8" s="209"/>
      <c r="E8" s="211"/>
      <c r="F8" s="209"/>
      <c r="G8" s="211"/>
      <c r="H8" s="209"/>
      <c r="I8" s="211"/>
      <c r="J8" s="209"/>
      <c r="K8" s="211"/>
      <c r="L8" s="209"/>
      <c r="M8" s="211"/>
      <c r="N8" s="209"/>
      <c r="O8" s="211"/>
      <c r="P8" s="209"/>
      <c r="Q8" s="211"/>
      <c r="R8" s="209"/>
      <c r="S8" s="211"/>
      <c r="T8" s="209"/>
      <c r="U8" s="211"/>
      <c r="V8" s="211"/>
      <c r="W8" s="209"/>
      <c r="X8" s="211"/>
      <c r="Y8" s="209"/>
      <c r="Z8" s="211"/>
      <c r="AA8" s="209"/>
      <c r="AB8" s="211"/>
      <c r="AC8" s="209"/>
      <c r="AD8" s="211"/>
      <c r="AE8" s="209"/>
      <c r="AF8" s="211"/>
      <c r="AG8" s="209"/>
      <c r="AH8" s="211"/>
      <c r="AI8" s="209"/>
      <c r="AJ8" s="211"/>
      <c r="AK8" s="209"/>
      <c r="AL8" s="211"/>
      <c r="AM8" s="209"/>
      <c r="AN8" s="211"/>
      <c r="AO8" s="209"/>
      <c r="AP8" s="211"/>
      <c r="AQ8" s="209"/>
      <c r="AR8" s="211"/>
      <c r="AS8" s="209"/>
      <c r="AT8" s="211"/>
      <c r="AU8" s="209"/>
      <c r="AV8" s="211"/>
      <c r="AW8" s="209"/>
      <c r="AX8" s="211"/>
      <c r="AY8" s="209"/>
      <c r="AZ8" s="211"/>
      <c r="BA8" s="209"/>
      <c r="BB8" s="211"/>
      <c r="BC8" s="209"/>
      <c r="BD8" s="211"/>
      <c r="BE8" s="209"/>
      <c r="BF8" s="211"/>
      <c r="BG8" s="209"/>
      <c r="BH8" s="211"/>
      <c r="BI8" s="209"/>
      <c r="BJ8" s="211"/>
      <c r="BK8" s="209"/>
      <c r="BL8" s="211"/>
      <c r="BM8" s="209"/>
      <c r="BN8" s="211"/>
      <c r="BO8" s="209"/>
      <c r="BP8" s="211"/>
      <c r="BQ8" s="209"/>
      <c r="BR8" s="211"/>
      <c r="BS8" s="209"/>
      <c r="BT8" s="211"/>
      <c r="BU8" s="209"/>
      <c r="BV8" s="211"/>
      <c r="BW8" s="209"/>
      <c r="BX8" s="211"/>
      <c r="BY8" s="209"/>
      <c r="BZ8" s="211"/>
      <c r="CA8" s="209"/>
      <c r="CB8" s="211"/>
      <c r="CC8" s="209"/>
      <c r="CD8" s="211"/>
      <c r="CE8" s="209"/>
      <c r="CF8" s="211"/>
      <c r="CG8" s="209"/>
      <c r="CH8" s="211"/>
      <c r="CI8" s="209"/>
      <c r="CJ8" s="211"/>
      <c r="CK8" s="209"/>
      <c r="CL8" s="211"/>
      <c r="CM8" s="209"/>
      <c r="CN8" s="211"/>
      <c r="CO8" s="211"/>
      <c r="CP8" s="209"/>
      <c r="CQ8" s="211"/>
      <c r="CR8" s="209"/>
      <c r="CS8" s="211"/>
      <c r="CT8" s="209"/>
      <c r="CU8" s="211"/>
      <c r="CV8" s="209"/>
      <c r="CW8" s="211"/>
    </row>
    <row r="9" spans="1:101" s="216" customFormat="1" x14ac:dyDescent="0.2">
      <c r="A9" s="218" t="s">
        <v>40</v>
      </c>
      <c r="B9" s="209"/>
      <c r="C9" s="211"/>
      <c r="D9" s="209"/>
      <c r="E9" s="211"/>
      <c r="F9" s="209"/>
      <c r="G9" s="211"/>
      <c r="H9" s="209"/>
      <c r="I9" s="211"/>
      <c r="J9" s="209"/>
      <c r="K9" s="211"/>
      <c r="L9" s="209"/>
      <c r="M9" s="211"/>
      <c r="N9" s="209"/>
      <c r="O9" s="211"/>
      <c r="P9" s="209"/>
      <c r="Q9" s="211"/>
      <c r="R9" s="209"/>
      <c r="S9" s="211"/>
      <c r="T9" s="209"/>
      <c r="U9" s="211"/>
      <c r="V9" s="211"/>
      <c r="W9" s="209"/>
      <c r="X9" s="211"/>
      <c r="Y9" s="209"/>
      <c r="Z9" s="211"/>
      <c r="AA9" s="209"/>
      <c r="AB9" s="211"/>
      <c r="AC9" s="209"/>
      <c r="AD9" s="211"/>
      <c r="AE9" s="209"/>
      <c r="AF9" s="211"/>
      <c r="AG9" s="209"/>
      <c r="AH9" s="211"/>
      <c r="AI9" s="209"/>
      <c r="AJ9" s="211"/>
      <c r="AK9" s="209"/>
      <c r="AL9" s="211"/>
      <c r="AM9" s="209"/>
      <c r="AN9" s="211"/>
      <c r="AO9" s="209"/>
      <c r="AP9" s="211"/>
      <c r="AQ9" s="209"/>
      <c r="AR9" s="209"/>
      <c r="AS9" s="209"/>
      <c r="AT9" s="211"/>
      <c r="AU9" s="209"/>
      <c r="AV9" s="211"/>
      <c r="AW9" s="209"/>
      <c r="AX9" s="211"/>
      <c r="AY9" s="209"/>
      <c r="AZ9" s="211"/>
      <c r="BA9" s="209"/>
      <c r="BB9" s="211"/>
      <c r="BC9" s="209"/>
      <c r="BD9" s="211"/>
      <c r="BE9" s="209"/>
      <c r="BF9" s="211"/>
      <c r="BG9" s="209"/>
      <c r="BH9" s="211"/>
      <c r="BI9" s="209"/>
      <c r="BJ9" s="211"/>
      <c r="BK9" s="209"/>
      <c r="BL9" s="211"/>
      <c r="BM9" s="209"/>
      <c r="BN9" s="211"/>
      <c r="BO9" s="209"/>
      <c r="BP9" s="211"/>
      <c r="BQ9" s="209"/>
      <c r="BR9" s="211"/>
      <c r="BS9" s="209"/>
      <c r="BT9" s="211"/>
      <c r="BU9" s="209"/>
      <c r="BV9" s="211"/>
      <c r="BW9" s="209"/>
      <c r="BX9" s="211"/>
      <c r="BY9" s="209"/>
      <c r="BZ9" s="211"/>
      <c r="CA9" s="209"/>
      <c r="CB9" s="211"/>
      <c r="CC9" s="209"/>
      <c r="CD9" s="211"/>
      <c r="CE9" s="209"/>
      <c r="CF9" s="211"/>
      <c r="CG9" s="209"/>
      <c r="CH9" s="211"/>
      <c r="CI9" s="209"/>
      <c r="CJ9" s="211"/>
      <c r="CK9" s="209"/>
      <c r="CL9" s="211"/>
      <c r="CM9" s="209"/>
      <c r="CN9" s="211"/>
      <c r="CO9" s="211"/>
      <c r="CP9" s="209"/>
      <c r="CQ9" s="211"/>
      <c r="CR9" s="209"/>
      <c r="CS9" s="211"/>
      <c r="CT9" s="209"/>
      <c r="CU9" s="211"/>
      <c r="CV9" s="209"/>
      <c r="CW9" s="211"/>
    </row>
    <row r="10" spans="1:101" x14ac:dyDescent="0.2">
      <c r="A10" s="214" t="s">
        <v>41</v>
      </c>
      <c r="B10" s="209">
        <v>899011378</v>
      </c>
      <c r="C10" s="213">
        <v>1178683155</v>
      </c>
      <c r="D10" s="209">
        <v>8232949724</v>
      </c>
      <c r="E10" s="213">
        <v>5448338724</v>
      </c>
      <c r="F10" s="209">
        <v>5342888280</v>
      </c>
      <c r="G10" s="213">
        <v>5048100204</v>
      </c>
      <c r="H10" s="209">
        <v>1703518213</v>
      </c>
      <c r="I10" s="213">
        <v>1634819041</v>
      </c>
      <c r="J10" s="209">
        <v>1788163318</v>
      </c>
      <c r="K10" s="209">
        <v>2194686433</v>
      </c>
      <c r="L10" s="220">
        <v>20538045</v>
      </c>
      <c r="M10" s="220">
        <v>21279744</v>
      </c>
      <c r="N10" s="209">
        <v>2797765450</v>
      </c>
      <c r="O10" s="213">
        <v>2551330755</v>
      </c>
      <c r="P10" s="209">
        <v>95515727649</v>
      </c>
      <c r="Q10" s="213">
        <v>125010672218</v>
      </c>
      <c r="R10" s="209">
        <v>1703518213</v>
      </c>
      <c r="S10" s="213">
        <v>1634819041</v>
      </c>
      <c r="T10" s="209">
        <v>2848373239</v>
      </c>
      <c r="U10" s="213">
        <v>1095407401</v>
      </c>
      <c r="V10" s="213">
        <v>2395087451</v>
      </c>
      <c r="W10" s="209">
        <v>39298000</v>
      </c>
      <c r="X10" s="213">
        <v>70724000</v>
      </c>
      <c r="Y10" s="209">
        <v>1533392005</v>
      </c>
      <c r="Z10" s="213">
        <v>9840439935</v>
      </c>
      <c r="AA10" s="213">
        <v>865000000</v>
      </c>
      <c r="AB10" s="213">
        <v>865000000</v>
      </c>
      <c r="AC10" s="209">
        <v>5245019616</v>
      </c>
      <c r="AD10" s="213">
        <v>4716629893</v>
      </c>
      <c r="AE10" s="209">
        <v>300218385</v>
      </c>
      <c r="AF10" s="213">
        <v>223963103</v>
      </c>
      <c r="AG10" s="209">
        <v>1151472344</v>
      </c>
      <c r="AH10" s="213">
        <v>1092229846</v>
      </c>
      <c r="AI10" s="213">
        <v>45309455000</v>
      </c>
      <c r="AJ10" s="213">
        <v>37804410000</v>
      </c>
      <c r="AK10" s="209">
        <v>4639653929</v>
      </c>
      <c r="AL10" s="213">
        <v>6085558495</v>
      </c>
      <c r="AM10" s="209">
        <v>172520000</v>
      </c>
      <c r="AN10" s="213">
        <v>316651000</v>
      </c>
      <c r="AO10" s="209">
        <v>894203000</v>
      </c>
      <c r="AP10" s="213">
        <v>2186818000</v>
      </c>
      <c r="AQ10" s="209">
        <v>3415866256</v>
      </c>
      <c r="AR10" s="213">
        <v>1964675304</v>
      </c>
      <c r="AS10" s="209">
        <v>235212000</v>
      </c>
      <c r="AT10" s="213">
        <v>606176557</v>
      </c>
      <c r="AU10" s="209">
        <v>671785000</v>
      </c>
      <c r="AV10" s="213">
        <v>1426527330</v>
      </c>
      <c r="AW10" s="209">
        <v>1997272397</v>
      </c>
      <c r="AX10" s="213">
        <v>2428716270</v>
      </c>
      <c r="AY10" s="209">
        <v>45353000</v>
      </c>
      <c r="AZ10" s="213">
        <v>68466000</v>
      </c>
      <c r="BA10" s="209">
        <v>198546388</v>
      </c>
      <c r="BB10" s="213">
        <v>447777515</v>
      </c>
      <c r="BC10" s="209">
        <v>1599815818</v>
      </c>
      <c r="BD10" s="213">
        <v>2864842118</v>
      </c>
      <c r="BE10" s="209">
        <v>131149855</v>
      </c>
      <c r="BF10" s="213">
        <v>121373614</v>
      </c>
      <c r="BG10" s="209">
        <v>43691000000</v>
      </c>
      <c r="BH10" s="213">
        <v>13595000000</v>
      </c>
      <c r="BI10" s="209">
        <v>1463776000</v>
      </c>
      <c r="BJ10" s="213">
        <v>1834826000</v>
      </c>
      <c r="BK10" s="209"/>
      <c r="BL10" s="213">
        <v>364789905</v>
      </c>
      <c r="BM10" s="209">
        <v>1869739791</v>
      </c>
      <c r="BN10" s="213">
        <v>3162911999</v>
      </c>
      <c r="BO10" s="209">
        <v>2642970913</v>
      </c>
      <c r="BP10" s="213">
        <v>3319006786</v>
      </c>
      <c r="BQ10" s="209"/>
      <c r="BR10" s="213">
        <v>171035</v>
      </c>
      <c r="BS10" s="209"/>
      <c r="BT10" s="213">
        <v>83928726</v>
      </c>
      <c r="BU10" s="209">
        <v>8017011000</v>
      </c>
      <c r="BV10" s="209">
        <v>5843155000</v>
      </c>
      <c r="BW10" s="209">
        <v>751494181</v>
      </c>
      <c r="BX10" s="209">
        <v>536878210</v>
      </c>
      <c r="BY10" s="209">
        <v>104269417</v>
      </c>
      <c r="BZ10" s="209">
        <v>143035039</v>
      </c>
      <c r="CA10" s="209">
        <v>833206</v>
      </c>
      <c r="CB10" s="213">
        <v>593934</v>
      </c>
      <c r="CC10" s="209">
        <v>2630620264</v>
      </c>
      <c r="CD10" s="213">
        <v>2906346286</v>
      </c>
      <c r="CE10" s="209">
        <v>26332311000</v>
      </c>
      <c r="CF10" s="213">
        <v>17095124000</v>
      </c>
      <c r="CG10" s="209">
        <v>2628000</v>
      </c>
      <c r="CH10" s="213">
        <v>6815000</v>
      </c>
      <c r="CI10" s="209">
        <v>43691000000</v>
      </c>
      <c r="CJ10" s="213">
        <v>13595000000</v>
      </c>
      <c r="CK10" s="209">
        <v>1713560512</v>
      </c>
      <c r="CL10" s="213">
        <v>3738331311</v>
      </c>
      <c r="CM10" s="209">
        <v>3875979779</v>
      </c>
      <c r="CN10" s="213">
        <v>3806935844</v>
      </c>
      <c r="CO10" s="213">
        <v>3713336763</v>
      </c>
      <c r="CP10" s="209">
        <v>1413623336</v>
      </c>
      <c r="CQ10" s="213">
        <v>1771936000</v>
      </c>
      <c r="CR10" s="209">
        <v>1368246586</v>
      </c>
      <c r="CS10" s="213">
        <v>8133077253</v>
      </c>
      <c r="CT10" s="209">
        <v>415270514</v>
      </c>
      <c r="CU10" s="213">
        <v>530853434</v>
      </c>
      <c r="CV10" s="209">
        <f>+B10+D10+F10+H10+J10+L10+N10+P10+R10+T10+W10+Y10+AA10+AC10+AE10+AG10+AI10+AK10+AM10+AO10+AQ10+AS10+AU10+AW10+AY10+BA10+BC10+BE10+BG10+BI10+BK10+BM10+BO10+BQ10+BS10+BU10+BW10+BY10+CA10+CC10+CE10+CG10+CI10+CK10+CM10+CP10+CR10</f>
        <v>328866750487</v>
      </c>
      <c r="CW10" s="209">
        <f t="shared" ref="CW10:CW11" si="0">+C10+E10+G10+I10+K10+M10+O10+Q10+S10+U10+X10+Z10+AB10+AD10+AF10+AH10+AJ10+AL10+AN10+AP10+AR10+AT10+AV10+AX10+AZ10+BB10+BD10+BF10+BH10+BJ10+BL10+BN10+BP10+BR10+BT10+BV10+BX10+BZ10+CB10+CD10+CF10+CH10+CJ10+CL10+CN10+CQ10+CS10</f>
        <v>298886978024</v>
      </c>
    </row>
    <row r="11" spans="1:101" x14ac:dyDescent="0.2">
      <c r="A11" s="214" t="s">
        <v>42</v>
      </c>
      <c r="B11" s="213">
        <v>440772197</v>
      </c>
      <c r="C11" s="213">
        <v>441415894</v>
      </c>
      <c r="D11" s="213">
        <v>15376648645</v>
      </c>
      <c r="E11" s="213">
        <v>7585235390</v>
      </c>
      <c r="F11" s="213">
        <v>3574360020</v>
      </c>
      <c r="G11" s="213">
        <v>11263998551</v>
      </c>
      <c r="H11" s="213">
        <v>119005473</v>
      </c>
      <c r="I11" s="213">
        <v>126584299</v>
      </c>
      <c r="J11" s="213">
        <v>2262311560</v>
      </c>
      <c r="K11" s="213">
        <v>2261157176</v>
      </c>
      <c r="L11" s="220">
        <v>6645464</v>
      </c>
      <c r="M11" s="220">
        <v>7517415</v>
      </c>
      <c r="N11" s="209">
        <v>5893981674</v>
      </c>
      <c r="O11" s="213">
        <v>5461764805</v>
      </c>
      <c r="P11" s="209">
        <v>49521333073</v>
      </c>
      <c r="Q11" s="213">
        <v>100655592378</v>
      </c>
      <c r="R11" s="213">
        <v>119005473</v>
      </c>
      <c r="S11" s="213">
        <v>126584299</v>
      </c>
      <c r="T11" s="213">
        <v>8108111288</v>
      </c>
      <c r="U11" s="213">
        <v>9979945753</v>
      </c>
      <c r="V11" s="213">
        <v>9987378916</v>
      </c>
      <c r="W11" s="213">
        <v>860658000</v>
      </c>
      <c r="X11" s="213">
        <v>726645000</v>
      </c>
      <c r="Y11" s="213">
        <v>10091756000</v>
      </c>
      <c r="Z11" s="213">
        <v>9627066792</v>
      </c>
      <c r="AA11" s="213">
        <v>85000000</v>
      </c>
      <c r="AB11" s="213">
        <v>85000000</v>
      </c>
      <c r="AC11" s="213">
        <v>4872747840</v>
      </c>
      <c r="AD11" s="213">
        <v>4724889145</v>
      </c>
      <c r="AE11" s="213">
        <v>619111713</v>
      </c>
      <c r="AF11" s="213">
        <v>666761705</v>
      </c>
      <c r="AG11" s="213">
        <v>970631016</v>
      </c>
      <c r="AH11" s="213">
        <v>1263613116</v>
      </c>
      <c r="AI11" s="213">
        <v>46018959000</v>
      </c>
      <c r="AJ11" s="213">
        <v>47848316000</v>
      </c>
      <c r="AK11" s="213">
        <v>9088263154</v>
      </c>
      <c r="AL11" s="213">
        <v>10192786341</v>
      </c>
      <c r="AM11" s="213">
        <v>874759000</v>
      </c>
      <c r="AN11" s="213">
        <v>727108000</v>
      </c>
      <c r="AO11" s="213">
        <v>231229000</v>
      </c>
      <c r="AP11" s="213">
        <v>26946000</v>
      </c>
      <c r="AQ11" s="213">
        <v>3268009669</v>
      </c>
      <c r="AR11" s="213">
        <v>3229011923</v>
      </c>
      <c r="AS11" s="213">
        <f>1981049000+1920000+1264</f>
        <v>1982970264</v>
      </c>
      <c r="AT11" s="213">
        <f>2873899872+17504881</f>
        <v>2891404753</v>
      </c>
      <c r="AU11" s="213">
        <v>1096687000</v>
      </c>
      <c r="AV11" s="213">
        <v>1109145000</v>
      </c>
      <c r="AW11" s="213">
        <v>2104503901</v>
      </c>
      <c r="AX11" s="213">
        <v>1312155313</v>
      </c>
      <c r="AY11" s="213">
        <v>1619780000</v>
      </c>
      <c r="AZ11" s="213">
        <v>1575402000</v>
      </c>
      <c r="BA11" s="213">
        <v>4334581379</v>
      </c>
      <c r="BB11" s="213">
        <v>3927059863</v>
      </c>
      <c r="BC11" s="213">
        <v>2841631613</v>
      </c>
      <c r="BD11" s="213">
        <v>3079570808</v>
      </c>
      <c r="BE11" s="213">
        <v>4115281923</v>
      </c>
      <c r="BF11" s="213">
        <v>4115281923</v>
      </c>
      <c r="BG11" s="213">
        <v>128916000000</v>
      </c>
      <c r="BH11" s="213">
        <v>118301000000</v>
      </c>
      <c r="BI11" s="213">
        <v>464414000</v>
      </c>
      <c r="BJ11" s="213">
        <v>498765000</v>
      </c>
      <c r="BK11" s="213"/>
      <c r="BL11" s="213">
        <v>88558144</v>
      </c>
      <c r="BM11" s="213">
        <v>52593074</v>
      </c>
      <c r="BN11" s="213">
        <v>123766322</v>
      </c>
      <c r="BO11" s="213">
        <v>6719569224</v>
      </c>
      <c r="BP11" s="213">
        <v>4808434299</v>
      </c>
      <c r="BQ11" s="213"/>
      <c r="BR11" s="213">
        <v>607801</v>
      </c>
      <c r="BS11" s="213"/>
      <c r="BT11" s="213">
        <v>213000000</v>
      </c>
      <c r="BU11" s="209">
        <v>25011669000</v>
      </c>
      <c r="BV11" s="209">
        <v>25016366000</v>
      </c>
      <c r="BW11" s="209">
        <v>2531090905</v>
      </c>
      <c r="BX11" s="209">
        <v>2404940905</v>
      </c>
      <c r="BY11" s="209">
        <f>2047514411+381155836</f>
        <v>2428670247</v>
      </c>
      <c r="BZ11" s="209">
        <f>2116755126+424731130</f>
        <v>2541486256</v>
      </c>
      <c r="CA11" s="213">
        <v>1141767</v>
      </c>
      <c r="CB11" s="213">
        <v>1173562</v>
      </c>
      <c r="CC11" s="213">
        <v>790966798</v>
      </c>
      <c r="CD11" s="213">
        <v>706621455</v>
      </c>
      <c r="CE11" s="213">
        <v>90495780000</v>
      </c>
      <c r="CF11" s="213">
        <v>84885730000</v>
      </c>
      <c r="CG11" s="213">
        <v>110248000</v>
      </c>
      <c r="CH11" s="213">
        <v>110248000</v>
      </c>
      <c r="CI11" s="213">
        <v>128916000000</v>
      </c>
      <c r="CJ11" s="213">
        <v>118301000000</v>
      </c>
      <c r="CK11" s="213">
        <v>856818669</v>
      </c>
      <c r="CL11" s="213">
        <v>815419888</v>
      </c>
      <c r="CM11" s="213">
        <v>19587508066</v>
      </c>
      <c r="CN11" s="213">
        <v>19835656200</v>
      </c>
      <c r="CO11" s="213">
        <v>19564317523</v>
      </c>
      <c r="CP11" s="213">
        <v>3677903219</v>
      </c>
      <c r="CQ11" s="213">
        <v>3707653219</v>
      </c>
      <c r="CR11" s="213">
        <v>1259859212</v>
      </c>
      <c r="CS11" s="213">
        <v>1190277711</v>
      </c>
      <c r="CT11" s="213">
        <v>1451053994</v>
      </c>
      <c r="CU11" s="213">
        <v>1443299487</v>
      </c>
      <c r="CV11" s="209">
        <f t="shared" ref="CV11" si="1">+B11+D11+F11+H11+J11+L11+N11+P11+R11+T11+W11+Y11+AA11+AC11+AE11+AG11+AI11+AK11+AM11+AO11+AQ11+AS11+AU11+AW11+AY11+BA11+BC11+BE11+BG11+BI11+BK11+BM11+BO11+BQ11+BS11+BU11+BW11+BY11+CA11+CC11+CE11+CG11+CI11+CK11+CM11+CP11+CR11</f>
        <v>592318967520</v>
      </c>
      <c r="CW11" s="209">
        <f t="shared" si="0"/>
        <v>618588664404</v>
      </c>
    </row>
    <row r="12" spans="1:101" s="224" customFormat="1" x14ac:dyDescent="0.2">
      <c r="A12" s="223" t="s">
        <v>43</v>
      </c>
      <c r="B12" s="210">
        <f t="shared" ref="B12:K12" si="2">+B10+B11</f>
        <v>1339783575</v>
      </c>
      <c r="C12" s="210">
        <f t="shared" si="2"/>
        <v>1620099049</v>
      </c>
      <c r="D12" s="210">
        <f t="shared" si="2"/>
        <v>23609598369</v>
      </c>
      <c r="E12" s="210">
        <f t="shared" si="2"/>
        <v>13033574114</v>
      </c>
      <c r="F12" s="210">
        <f t="shared" si="2"/>
        <v>8917248300</v>
      </c>
      <c r="G12" s="210">
        <f t="shared" si="2"/>
        <v>16312098755</v>
      </c>
      <c r="H12" s="210">
        <f t="shared" si="2"/>
        <v>1822523686</v>
      </c>
      <c r="I12" s="210">
        <f t="shared" si="2"/>
        <v>1761403340</v>
      </c>
      <c r="J12" s="210">
        <f t="shared" si="2"/>
        <v>4050474878</v>
      </c>
      <c r="K12" s="210">
        <f t="shared" si="2"/>
        <v>4455843609</v>
      </c>
      <c r="L12" s="210">
        <v>27183509</v>
      </c>
      <c r="M12" s="210">
        <f t="shared" ref="M12:AS12" si="3">+M10+M11</f>
        <v>28797159</v>
      </c>
      <c r="N12" s="210">
        <f t="shared" si="3"/>
        <v>8691747124</v>
      </c>
      <c r="O12" s="210">
        <f t="shared" si="3"/>
        <v>8013095560</v>
      </c>
      <c r="P12" s="210">
        <f t="shared" si="3"/>
        <v>145037060722</v>
      </c>
      <c r="Q12" s="210">
        <f t="shared" si="3"/>
        <v>225666264596</v>
      </c>
      <c r="R12" s="210">
        <f t="shared" si="3"/>
        <v>1822523686</v>
      </c>
      <c r="S12" s="210">
        <f t="shared" si="3"/>
        <v>1761403340</v>
      </c>
      <c r="T12" s="210">
        <f t="shared" si="3"/>
        <v>10956484527</v>
      </c>
      <c r="U12" s="210">
        <f t="shared" si="3"/>
        <v>11075353154</v>
      </c>
      <c r="V12" s="210">
        <f t="shared" si="3"/>
        <v>12382466367</v>
      </c>
      <c r="W12" s="210">
        <f t="shared" si="3"/>
        <v>899956000</v>
      </c>
      <c r="X12" s="210">
        <f t="shared" si="3"/>
        <v>797369000</v>
      </c>
      <c r="Y12" s="210">
        <f t="shared" si="3"/>
        <v>11625148005</v>
      </c>
      <c r="Z12" s="210">
        <f t="shared" si="3"/>
        <v>19467506727</v>
      </c>
      <c r="AA12" s="210">
        <f t="shared" si="3"/>
        <v>950000000</v>
      </c>
      <c r="AB12" s="210">
        <f t="shared" si="3"/>
        <v>950000000</v>
      </c>
      <c r="AC12" s="210">
        <f t="shared" si="3"/>
        <v>10117767456</v>
      </c>
      <c r="AD12" s="210">
        <f t="shared" si="3"/>
        <v>9441519038</v>
      </c>
      <c r="AE12" s="210">
        <f t="shared" si="3"/>
        <v>919330098</v>
      </c>
      <c r="AF12" s="210">
        <f t="shared" si="3"/>
        <v>890724808</v>
      </c>
      <c r="AG12" s="210">
        <f t="shared" si="3"/>
        <v>2122103360</v>
      </c>
      <c r="AH12" s="210">
        <f t="shared" si="3"/>
        <v>2355842962</v>
      </c>
      <c r="AI12" s="210">
        <f t="shared" si="3"/>
        <v>91328414000</v>
      </c>
      <c r="AJ12" s="210">
        <f t="shared" si="3"/>
        <v>85652726000</v>
      </c>
      <c r="AK12" s="210">
        <f t="shared" si="3"/>
        <v>13727917083</v>
      </c>
      <c r="AL12" s="210">
        <f t="shared" si="3"/>
        <v>16278344836</v>
      </c>
      <c r="AM12" s="210">
        <f t="shared" si="3"/>
        <v>1047279000</v>
      </c>
      <c r="AN12" s="210">
        <f t="shared" si="3"/>
        <v>1043759000</v>
      </c>
      <c r="AO12" s="210">
        <f t="shared" si="3"/>
        <v>1125432000</v>
      </c>
      <c r="AP12" s="210">
        <f t="shared" si="3"/>
        <v>2213764000</v>
      </c>
      <c r="AQ12" s="210">
        <f t="shared" si="3"/>
        <v>6683875925</v>
      </c>
      <c r="AR12" s="210">
        <f t="shared" si="3"/>
        <v>5193687227</v>
      </c>
      <c r="AS12" s="210">
        <f t="shared" si="3"/>
        <v>2218182264</v>
      </c>
      <c r="AT12" s="210">
        <f t="shared" ref="AT12:CW12" si="4">+AT10+AT11</f>
        <v>3497581310</v>
      </c>
      <c r="AU12" s="210">
        <f t="shared" si="4"/>
        <v>1768472000</v>
      </c>
      <c r="AV12" s="210">
        <f t="shared" si="4"/>
        <v>2535672330</v>
      </c>
      <c r="AW12" s="210">
        <f t="shared" si="4"/>
        <v>4101776298</v>
      </c>
      <c r="AX12" s="210">
        <f t="shared" si="4"/>
        <v>3740871583</v>
      </c>
      <c r="AY12" s="210">
        <f t="shared" si="4"/>
        <v>1665133000</v>
      </c>
      <c r="AZ12" s="210">
        <f t="shared" si="4"/>
        <v>1643868000</v>
      </c>
      <c r="BA12" s="210">
        <f t="shared" si="4"/>
        <v>4533127767</v>
      </c>
      <c r="BB12" s="210">
        <f t="shared" si="4"/>
        <v>4374837378</v>
      </c>
      <c r="BC12" s="210">
        <f t="shared" si="4"/>
        <v>4441447431</v>
      </c>
      <c r="BD12" s="210">
        <f t="shared" si="4"/>
        <v>5944412926</v>
      </c>
      <c r="BE12" s="210">
        <f t="shared" si="4"/>
        <v>4246431778</v>
      </c>
      <c r="BF12" s="210">
        <f t="shared" si="4"/>
        <v>4236655537</v>
      </c>
      <c r="BG12" s="210">
        <f t="shared" si="4"/>
        <v>172607000000</v>
      </c>
      <c r="BH12" s="210">
        <f t="shared" si="4"/>
        <v>131896000000</v>
      </c>
      <c r="BI12" s="210">
        <f t="shared" si="4"/>
        <v>1928190000</v>
      </c>
      <c r="BJ12" s="210">
        <f t="shared" si="4"/>
        <v>2333591000</v>
      </c>
      <c r="BK12" s="210"/>
      <c r="BL12" s="210">
        <f t="shared" ref="BL12" si="5">+BL10+BL11</f>
        <v>453348049</v>
      </c>
      <c r="BM12" s="210">
        <f t="shared" si="4"/>
        <v>1922332865</v>
      </c>
      <c r="BN12" s="210">
        <f t="shared" si="4"/>
        <v>3286678321</v>
      </c>
      <c r="BO12" s="210">
        <f t="shared" ref="BO12:BP12" si="6">+BO10+BO11</f>
        <v>9362540137</v>
      </c>
      <c r="BP12" s="210">
        <f t="shared" si="6"/>
        <v>8127441085</v>
      </c>
      <c r="BQ12" s="210">
        <f t="shared" ref="BQ12:BV12" si="7">+BQ10+BQ11</f>
        <v>0</v>
      </c>
      <c r="BR12" s="210">
        <f t="shared" si="7"/>
        <v>778836</v>
      </c>
      <c r="BS12" s="210">
        <f t="shared" si="7"/>
        <v>0</v>
      </c>
      <c r="BT12" s="210">
        <f t="shared" si="7"/>
        <v>296928726</v>
      </c>
      <c r="BU12" s="210">
        <f t="shared" si="7"/>
        <v>33028680000</v>
      </c>
      <c r="BV12" s="210">
        <f t="shared" si="7"/>
        <v>30859521000</v>
      </c>
      <c r="BW12" s="210">
        <f t="shared" ref="BW12" si="8">+BW10+BW11</f>
        <v>3282585086</v>
      </c>
      <c r="BX12" s="210">
        <f t="shared" ref="BX12" si="9">+BX10+BX11</f>
        <v>2941819115</v>
      </c>
      <c r="BY12" s="210">
        <f t="shared" ref="BY12" si="10">+BY10+BY11</f>
        <v>2532939664</v>
      </c>
      <c r="BZ12" s="210">
        <f t="shared" ref="BZ12" si="11">+BZ10+BZ11</f>
        <v>2684521295</v>
      </c>
      <c r="CA12" s="210">
        <f t="shared" ref="CA12:CS12" si="12">+CA10+CA11</f>
        <v>1974973</v>
      </c>
      <c r="CB12" s="210">
        <f t="shared" si="12"/>
        <v>1767496</v>
      </c>
      <c r="CC12" s="210">
        <f t="shared" si="12"/>
        <v>3421587062</v>
      </c>
      <c r="CD12" s="210">
        <f t="shared" si="12"/>
        <v>3612967741</v>
      </c>
      <c r="CE12" s="210">
        <f t="shared" si="12"/>
        <v>116828091000</v>
      </c>
      <c r="CF12" s="210">
        <f t="shared" si="12"/>
        <v>101980854000</v>
      </c>
      <c r="CG12" s="210">
        <f t="shared" si="12"/>
        <v>112876000</v>
      </c>
      <c r="CH12" s="210">
        <f t="shared" si="12"/>
        <v>117063000</v>
      </c>
      <c r="CI12" s="210">
        <f t="shared" si="12"/>
        <v>172607000000</v>
      </c>
      <c r="CJ12" s="210">
        <f t="shared" si="12"/>
        <v>131896000000</v>
      </c>
      <c r="CK12" s="210">
        <f t="shared" si="12"/>
        <v>2570379181</v>
      </c>
      <c r="CL12" s="210">
        <f t="shared" si="12"/>
        <v>4553751199</v>
      </c>
      <c r="CM12" s="210">
        <f t="shared" si="12"/>
        <v>23463487845</v>
      </c>
      <c r="CN12" s="210">
        <f t="shared" si="12"/>
        <v>23642592044</v>
      </c>
      <c r="CO12" s="210">
        <f t="shared" si="12"/>
        <v>23277654286</v>
      </c>
      <c r="CP12" s="210">
        <f t="shared" si="12"/>
        <v>5091526555</v>
      </c>
      <c r="CQ12" s="210">
        <f t="shared" si="12"/>
        <v>5479589219</v>
      </c>
      <c r="CR12" s="210">
        <f t="shared" si="12"/>
        <v>2628105798</v>
      </c>
      <c r="CS12" s="210">
        <f t="shared" si="12"/>
        <v>9323354964</v>
      </c>
      <c r="CT12" s="210">
        <f t="shared" ref="CT12:CU12" si="13">+CT10+CT11</f>
        <v>1866324508</v>
      </c>
      <c r="CU12" s="210">
        <f t="shared" si="13"/>
        <v>1974152921</v>
      </c>
      <c r="CV12" s="210">
        <f t="shared" si="4"/>
        <v>921185718007</v>
      </c>
      <c r="CW12" s="210">
        <f t="shared" si="4"/>
        <v>917475642428</v>
      </c>
    </row>
    <row r="13" spans="1:101" x14ac:dyDescent="0.2">
      <c r="A13" s="218" t="s">
        <v>44</v>
      </c>
      <c r="B13" s="211"/>
      <c r="C13" s="211"/>
      <c r="D13" s="211"/>
      <c r="E13" s="211"/>
      <c r="F13" s="211"/>
      <c r="G13" s="211"/>
      <c r="H13" s="211"/>
      <c r="I13" s="211"/>
      <c r="J13" s="211"/>
      <c r="K13" s="211"/>
      <c r="L13" s="220"/>
      <c r="M13" s="220"/>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row>
    <row r="14" spans="1:101" x14ac:dyDescent="0.2">
      <c r="A14" s="214" t="s">
        <v>45</v>
      </c>
      <c r="B14" s="213">
        <v>282271963</v>
      </c>
      <c r="C14" s="213">
        <v>334190376</v>
      </c>
      <c r="D14" s="213">
        <v>4998902996</v>
      </c>
      <c r="E14" s="213">
        <v>913682733</v>
      </c>
      <c r="F14" s="213">
        <v>1517004271</v>
      </c>
      <c r="G14" s="213">
        <v>4693409651</v>
      </c>
      <c r="H14" s="213">
        <v>314889683</v>
      </c>
      <c r="I14" s="213">
        <v>445206995</v>
      </c>
      <c r="J14" s="213">
        <v>773652316</v>
      </c>
      <c r="K14" s="213">
        <v>1150552080</v>
      </c>
      <c r="L14" s="220">
        <v>18309840</v>
      </c>
      <c r="M14" s="220">
        <v>17652424</v>
      </c>
      <c r="N14" s="213">
        <v>2225077798</v>
      </c>
      <c r="O14" s="213">
        <v>1570423045</v>
      </c>
      <c r="P14" s="213">
        <v>48960156201</v>
      </c>
      <c r="Q14" s="213">
        <v>77835009825</v>
      </c>
      <c r="R14" s="213">
        <v>314889683</v>
      </c>
      <c r="S14" s="213">
        <v>445206995</v>
      </c>
      <c r="T14" s="213">
        <v>1597683106</v>
      </c>
      <c r="U14" s="213">
        <v>1532127192</v>
      </c>
      <c r="V14" s="213">
        <v>1574104956</v>
      </c>
      <c r="W14" s="213">
        <v>130816000</v>
      </c>
      <c r="X14" s="213">
        <v>19613000</v>
      </c>
      <c r="Y14" s="213">
        <v>585782731</v>
      </c>
      <c r="Z14" s="213">
        <v>9784378330</v>
      </c>
      <c r="AA14" s="213"/>
      <c r="AB14" s="213"/>
      <c r="AC14" s="213">
        <v>1902759957</v>
      </c>
      <c r="AD14" s="213">
        <v>1936887119</v>
      </c>
      <c r="AE14" s="213">
        <v>295877645</v>
      </c>
      <c r="AF14" s="213">
        <v>202561844</v>
      </c>
      <c r="AG14" s="213">
        <v>739017073</v>
      </c>
      <c r="AH14" s="213">
        <v>486500142</v>
      </c>
      <c r="AI14" s="213">
        <v>37386510000</v>
      </c>
      <c r="AJ14" s="213">
        <v>35905558000</v>
      </c>
      <c r="AK14" s="213">
        <v>4029214269</v>
      </c>
      <c r="AL14" s="213">
        <v>3960819756</v>
      </c>
      <c r="AM14" s="213">
        <v>302635000</v>
      </c>
      <c r="AN14" s="213">
        <v>257444000</v>
      </c>
      <c r="AO14" s="213">
        <v>910665000</v>
      </c>
      <c r="AP14" s="213">
        <v>3168417000</v>
      </c>
      <c r="AQ14" s="213">
        <v>1980622997</v>
      </c>
      <c r="AR14" s="213">
        <v>2171429336</v>
      </c>
      <c r="AS14" s="213">
        <v>154554000</v>
      </c>
      <c r="AT14" s="213">
        <v>437130667</v>
      </c>
      <c r="AU14" s="213">
        <v>139505000</v>
      </c>
      <c r="AV14" s="213">
        <v>725606798</v>
      </c>
      <c r="AW14" s="213">
        <v>1198912946</v>
      </c>
      <c r="AX14" s="213">
        <v>727926072</v>
      </c>
      <c r="AY14" s="213">
        <v>28433000</v>
      </c>
      <c r="AZ14" s="213">
        <v>40859000</v>
      </c>
      <c r="BA14" s="213">
        <v>473961794</v>
      </c>
      <c r="BB14" s="213">
        <v>447372057</v>
      </c>
      <c r="BC14" s="213">
        <v>1236713679</v>
      </c>
      <c r="BD14" s="213">
        <v>1934253118</v>
      </c>
      <c r="BE14" s="213">
        <v>3904461843</v>
      </c>
      <c r="BF14" s="213">
        <v>4417984712</v>
      </c>
      <c r="BG14" s="213">
        <v>18672000000</v>
      </c>
      <c r="BH14" s="213">
        <v>22343000000</v>
      </c>
      <c r="BI14" s="213">
        <v>148210000</v>
      </c>
      <c r="BJ14" s="213">
        <v>574791000</v>
      </c>
      <c r="BK14" s="213"/>
      <c r="BL14" s="213">
        <v>21351076</v>
      </c>
      <c r="BM14" s="213">
        <v>460455339</v>
      </c>
      <c r="BN14" s="213">
        <v>804833355</v>
      </c>
      <c r="BO14" s="213">
        <v>3453016149</v>
      </c>
      <c r="BP14" s="213">
        <v>2656952455</v>
      </c>
      <c r="BQ14" s="213"/>
      <c r="BR14" s="213">
        <v>359350</v>
      </c>
      <c r="BS14" s="213"/>
      <c r="BT14" s="213">
        <v>7519222</v>
      </c>
      <c r="BU14" s="209">
        <v>11588964000</v>
      </c>
      <c r="BV14" s="209">
        <v>7291237000</v>
      </c>
      <c r="BW14" s="209">
        <v>689786008</v>
      </c>
      <c r="BX14" s="209">
        <v>372461705</v>
      </c>
      <c r="BY14" s="209">
        <v>445893111</v>
      </c>
      <c r="BZ14" s="209">
        <v>596494587</v>
      </c>
      <c r="CA14" s="213">
        <v>546638</v>
      </c>
      <c r="CB14" s="213">
        <v>342368</v>
      </c>
      <c r="CC14" s="213">
        <v>377248504</v>
      </c>
      <c r="CD14" s="213">
        <v>299117920</v>
      </c>
      <c r="CE14" s="213">
        <v>14606684000</v>
      </c>
      <c r="CF14" s="213">
        <v>13365599000</v>
      </c>
      <c r="CG14" s="213">
        <v>7601000</v>
      </c>
      <c r="CH14" s="213">
        <v>6057000</v>
      </c>
      <c r="CI14" s="213">
        <v>18672000000</v>
      </c>
      <c r="CJ14" s="213">
        <v>22343000000</v>
      </c>
      <c r="CK14" s="213">
        <v>529308159</v>
      </c>
      <c r="CL14" s="213">
        <v>2233616516</v>
      </c>
      <c r="CM14" s="213">
        <v>3310827788</v>
      </c>
      <c r="CN14" s="213">
        <v>4740350079</v>
      </c>
      <c r="CO14" s="213">
        <v>5726966178</v>
      </c>
      <c r="CP14" s="213">
        <v>904438490</v>
      </c>
      <c r="CQ14" s="213">
        <v>1289239369</v>
      </c>
      <c r="CR14" s="213">
        <v>783254030</v>
      </c>
      <c r="CS14" s="213">
        <v>2588677534</v>
      </c>
      <c r="CT14" s="213">
        <v>163248039</v>
      </c>
      <c r="CU14" s="213">
        <v>128009560</v>
      </c>
      <c r="CV14" s="209">
        <f t="shared" ref="CV14:CV15" si="14">+B14+D14+F14+H14+J14+L14+N14+P14+R14+T14+W14+Y14+AA14+AC14+AE14+AG14+AI14+AK14+AM14+AO14+AQ14+AS14+AU14+AW14+AY14+BA14+BC14+BE14+BG14+BI14+BK14+BM14+BO14+BQ14+BS14+BU14+BW14+BY14+CA14+CC14+CE14+CG14+CI14+CK14+CM14+CP14+CR14</f>
        <v>191053514007</v>
      </c>
      <c r="CW14" s="209">
        <f t="shared" ref="CW14:CW15" si="15">+C14+E14+G14+I14+K14+M14+O14+Q14+S14+U14+X14+Z14+AB14+AD14+AF14+AH14+AJ14+AL14+AN14+AP14+AR14+AT14+AV14+AX14+AZ14+BB14+BD14+BF14+BH14+BJ14+BL14+BN14+BP14+BR14+BT14+BV14+BX14+BZ14+CB14+CD14+CF14+CH14+CJ14+CL14+CN14+CQ14+CS14</f>
        <v>237097201803</v>
      </c>
    </row>
    <row r="15" spans="1:101" x14ac:dyDescent="0.2">
      <c r="A15" s="226" t="s">
        <v>46</v>
      </c>
      <c r="B15" s="213">
        <v>0</v>
      </c>
      <c r="C15" s="213">
        <v>0</v>
      </c>
      <c r="D15" s="213">
        <v>9744676188</v>
      </c>
      <c r="E15" s="213">
        <v>4426364338</v>
      </c>
      <c r="F15" s="213">
        <v>1593550377</v>
      </c>
      <c r="G15" s="213">
        <v>5030180034</v>
      </c>
      <c r="H15" s="213">
        <v>493276516</v>
      </c>
      <c r="I15" s="213">
        <v>250298125</v>
      </c>
      <c r="J15" s="213">
        <v>2205634</v>
      </c>
      <c r="K15" s="213">
        <v>5913383</v>
      </c>
      <c r="L15" s="220">
        <v>2563908</v>
      </c>
      <c r="M15" s="220">
        <v>2601794</v>
      </c>
      <c r="N15" s="213">
        <v>738220129</v>
      </c>
      <c r="O15" s="213">
        <v>235087539</v>
      </c>
      <c r="P15" s="213">
        <v>5989537967</v>
      </c>
      <c r="Q15" s="213">
        <v>44328356491</v>
      </c>
      <c r="R15" s="213">
        <v>493276516</v>
      </c>
      <c r="S15" s="213">
        <v>250298125</v>
      </c>
      <c r="T15" s="213">
        <v>640104484</v>
      </c>
      <c r="U15" s="213">
        <v>675649302</v>
      </c>
      <c r="V15" s="213">
        <v>726698459</v>
      </c>
      <c r="W15" s="213">
        <v>136331000</v>
      </c>
      <c r="X15" s="213">
        <v>48738000</v>
      </c>
      <c r="Y15" s="213">
        <v>2517845770</v>
      </c>
      <c r="Z15" s="213">
        <v>211027977</v>
      </c>
      <c r="AA15" s="213"/>
      <c r="AB15" s="213"/>
      <c r="AC15" s="213">
        <v>300671431</v>
      </c>
      <c r="AD15" s="213">
        <v>379173474</v>
      </c>
      <c r="AE15" s="213">
        <v>77517773</v>
      </c>
      <c r="AF15" s="213">
        <v>138070658</v>
      </c>
      <c r="AG15" s="213">
        <v>64738856</v>
      </c>
      <c r="AH15" s="213">
        <v>60466669</v>
      </c>
      <c r="AI15" s="213">
        <v>15401305000</v>
      </c>
      <c r="AJ15" s="213">
        <v>11116377000</v>
      </c>
      <c r="AK15" s="213">
        <v>4141828970</v>
      </c>
      <c r="AL15" s="213">
        <v>5452847934</v>
      </c>
      <c r="AM15" s="213">
        <v>110576000</v>
      </c>
      <c r="AN15" s="213">
        <v>99999000</v>
      </c>
      <c r="AO15" s="213">
        <v>7520000</v>
      </c>
      <c r="AP15" s="213">
        <v>36000</v>
      </c>
      <c r="AQ15" s="213">
        <v>671835369</v>
      </c>
      <c r="AR15" s="213">
        <v>812723169</v>
      </c>
      <c r="AS15" s="213">
        <v>501002000</v>
      </c>
      <c r="AT15" s="213">
        <v>2482537200</v>
      </c>
      <c r="AU15" s="213"/>
      <c r="AV15" s="213"/>
      <c r="AW15" s="213">
        <v>31501524</v>
      </c>
      <c r="AX15" s="213">
        <v>5600477</v>
      </c>
      <c r="AY15" s="213">
        <v>385600000</v>
      </c>
      <c r="AZ15" s="213">
        <v>325600000</v>
      </c>
      <c r="BA15" s="213">
        <v>3009487841</v>
      </c>
      <c r="BB15" s="213">
        <v>2707225874</v>
      </c>
      <c r="BC15" s="213">
        <v>857884965</v>
      </c>
      <c r="BD15" s="213">
        <v>477998720</v>
      </c>
      <c r="BE15" s="213"/>
      <c r="BF15" s="213"/>
      <c r="BG15" s="213">
        <v>151062000000</v>
      </c>
      <c r="BH15" s="213">
        <v>107255000000</v>
      </c>
      <c r="BI15" s="213"/>
      <c r="BJ15" s="213"/>
      <c r="BK15" s="213"/>
      <c r="BL15" s="213"/>
      <c r="BM15" s="213">
        <v>15330837</v>
      </c>
      <c r="BN15" s="213">
        <v>746559043</v>
      </c>
      <c r="BO15" s="213">
        <v>2942730000</v>
      </c>
      <c r="BP15" s="213">
        <v>1944123423</v>
      </c>
      <c r="BQ15" s="213"/>
      <c r="BR15" s="213"/>
      <c r="BS15" s="213"/>
      <c r="BT15" s="213"/>
      <c r="BU15" s="209">
        <v>20292958000</v>
      </c>
      <c r="BV15" s="209">
        <v>19025356000</v>
      </c>
      <c r="BW15" s="209">
        <v>40000000</v>
      </c>
      <c r="BX15" s="209">
        <v>5580000</v>
      </c>
      <c r="BY15" s="209">
        <v>1206909829</v>
      </c>
      <c r="BZ15" s="209">
        <v>1094716121</v>
      </c>
      <c r="CA15" s="213">
        <v>642836</v>
      </c>
      <c r="CB15" s="213">
        <v>666946</v>
      </c>
      <c r="CC15" s="213">
        <v>450000000</v>
      </c>
      <c r="CD15" s="213">
        <v>350000000</v>
      </c>
      <c r="CE15" s="213">
        <v>65097563000</v>
      </c>
      <c r="CF15" s="213">
        <v>61403627000</v>
      </c>
      <c r="CG15" s="213"/>
      <c r="CH15" s="213"/>
      <c r="CI15" s="213">
        <v>151062000000</v>
      </c>
      <c r="CJ15" s="213">
        <v>107255000000</v>
      </c>
      <c r="CK15" s="213">
        <v>18726263</v>
      </c>
      <c r="CL15" s="213">
        <v>21879577</v>
      </c>
      <c r="CM15" s="213">
        <v>15372105766</v>
      </c>
      <c r="CN15" s="213">
        <v>5603401670</v>
      </c>
      <c r="CO15" s="213">
        <v>4506494233</v>
      </c>
      <c r="CP15" s="213">
        <v>1643919737</v>
      </c>
      <c r="CQ15" s="213">
        <v>1643919738</v>
      </c>
      <c r="CR15" s="213">
        <v>130724607</v>
      </c>
      <c r="CS15" s="213">
        <v>1100330319</v>
      </c>
      <c r="CT15" s="213"/>
      <c r="CU15" s="213"/>
      <c r="CV15" s="209">
        <f t="shared" si="14"/>
        <v>457248669093</v>
      </c>
      <c r="CW15" s="209">
        <f t="shared" si="15"/>
        <v>386973331120</v>
      </c>
    </row>
    <row r="16" spans="1:101" s="224" customFormat="1" x14ac:dyDescent="0.2">
      <c r="A16" s="223" t="s">
        <v>47</v>
      </c>
      <c r="B16" s="210">
        <f t="shared" ref="B16:K16" si="16">+B14+B15</f>
        <v>282271963</v>
      </c>
      <c r="C16" s="210">
        <f t="shared" si="16"/>
        <v>334190376</v>
      </c>
      <c r="D16" s="210">
        <f t="shared" si="16"/>
        <v>14743579184</v>
      </c>
      <c r="E16" s="210">
        <f t="shared" si="16"/>
        <v>5340047071</v>
      </c>
      <c r="F16" s="210">
        <f t="shared" si="16"/>
        <v>3110554648</v>
      </c>
      <c r="G16" s="210">
        <f t="shared" si="16"/>
        <v>9723589685</v>
      </c>
      <c r="H16" s="210">
        <f t="shared" si="16"/>
        <v>808166199</v>
      </c>
      <c r="I16" s="210">
        <f t="shared" si="16"/>
        <v>695505120</v>
      </c>
      <c r="J16" s="210">
        <f t="shared" si="16"/>
        <v>775857950</v>
      </c>
      <c r="K16" s="210">
        <f t="shared" si="16"/>
        <v>1156465463</v>
      </c>
      <c r="L16" s="210">
        <v>20873748</v>
      </c>
      <c r="M16" s="210">
        <f t="shared" ref="M16:AS16" si="17">+M14+M15</f>
        <v>20254218</v>
      </c>
      <c r="N16" s="210">
        <f t="shared" si="17"/>
        <v>2963297927</v>
      </c>
      <c r="O16" s="210">
        <f t="shared" si="17"/>
        <v>1805510584</v>
      </c>
      <c r="P16" s="210">
        <f t="shared" si="17"/>
        <v>54949694168</v>
      </c>
      <c r="Q16" s="210">
        <f t="shared" si="17"/>
        <v>122163366316</v>
      </c>
      <c r="R16" s="210">
        <f t="shared" si="17"/>
        <v>808166199</v>
      </c>
      <c r="S16" s="210">
        <f t="shared" si="17"/>
        <v>695505120</v>
      </c>
      <c r="T16" s="210">
        <f t="shared" si="17"/>
        <v>2237787590</v>
      </c>
      <c r="U16" s="210">
        <f t="shared" si="17"/>
        <v>2207776494</v>
      </c>
      <c r="V16" s="210">
        <f t="shared" si="17"/>
        <v>2300803415</v>
      </c>
      <c r="W16" s="210">
        <f t="shared" si="17"/>
        <v>267147000</v>
      </c>
      <c r="X16" s="210">
        <f t="shared" si="17"/>
        <v>68351000</v>
      </c>
      <c r="Y16" s="210">
        <f t="shared" si="17"/>
        <v>3103628501</v>
      </c>
      <c r="Z16" s="210">
        <f t="shared" si="17"/>
        <v>9995406307</v>
      </c>
      <c r="AA16" s="210">
        <f t="shared" si="17"/>
        <v>0</v>
      </c>
      <c r="AB16" s="210">
        <f t="shared" si="17"/>
        <v>0</v>
      </c>
      <c r="AC16" s="210">
        <f t="shared" si="17"/>
        <v>2203431388</v>
      </c>
      <c r="AD16" s="210">
        <f t="shared" si="17"/>
        <v>2316060593</v>
      </c>
      <c r="AE16" s="210">
        <f t="shared" si="17"/>
        <v>373395418</v>
      </c>
      <c r="AF16" s="210">
        <f t="shared" si="17"/>
        <v>340632502</v>
      </c>
      <c r="AG16" s="210">
        <f t="shared" si="17"/>
        <v>803755929</v>
      </c>
      <c r="AH16" s="210">
        <f t="shared" si="17"/>
        <v>546966811</v>
      </c>
      <c r="AI16" s="210">
        <f t="shared" si="17"/>
        <v>52787815000</v>
      </c>
      <c r="AJ16" s="210">
        <f t="shared" si="17"/>
        <v>47021935000</v>
      </c>
      <c r="AK16" s="210">
        <f t="shared" si="17"/>
        <v>8171043239</v>
      </c>
      <c r="AL16" s="210">
        <f t="shared" si="17"/>
        <v>9413667690</v>
      </c>
      <c r="AM16" s="210">
        <f t="shared" si="17"/>
        <v>413211000</v>
      </c>
      <c r="AN16" s="210">
        <f t="shared" si="17"/>
        <v>357443000</v>
      </c>
      <c r="AO16" s="210">
        <f t="shared" si="17"/>
        <v>918185000</v>
      </c>
      <c r="AP16" s="210">
        <f t="shared" si="17"/>
        <v>3168453000</v>
      </c>
      <c r="AQ16" s="210">
        <f t="shared" si="17"/>
        <v>2652458366</v>
      </c>
      <c r="AR16" s="210">
        <f t="shared" si="17"/>
        <v>2984152505</v>
      </c>
      <c r="AS16" s="210">
        <f t="shared" si="17"/>
        <v>655556000</v>
      </c>
      <c r="AT16" s="210">
        <f t="shared" ref="AT16:CW16" si="18">+AT14+AT15</f>
        <v>2919667867</v>
      </c>
      <c r="AU16" s="210">
        <f t="shared" si="18"/>
        <v>139505000</v>
      </c>
      <c r="AV16" s="210">
        <f t="shared" si="18"/>
        <v>725606798</v>
      </c>
      <c r="AW16" s="210">
        <f t="shared" si="18"/>
        <v>1230414470</v>
      </c>
      <c r="AX16" s="210">
        <f t="shared" si="18"/>
        <v>733526549</v>
      </c>
      <c r="AY16" s="210">
        <f t="shared" si="18"/>
        <v>414033000</v>
      </c>
      <c r="AZ16" s="210">
        <f t="shared" si="18"/>
        <v>366459000</v>
      </c>
      <c r="BA16" s="210">
        <f t="shared" si="18"/>
        <v>3483449635</v>
      </c>
      <c r="BB16" s="210">
        <f t="shared" si="18"/>
        <v>3154597931</v>
      </c>
      <c r="BC16" s="210">
        <f t="shared" si="18"/>
        <v>2094598644</v>
      </c>
      <c r="BD16" s="210">
        <f t="shared" si="18"/>
        <v>2412251838</v>
      </c>
      <c r="BE16" s="210">
        <f t="shared" si="18"/>
        <v>3904461843</v>
      </c>
      <c r="BF16" s="210">
        <f t="shared" si="18"/>
        <v>4417984712</v>
      </c>
      <c r="BG16" s="210">
        <f t="shared" si="18"/>
        <v>169734000000</v>
      </c>
      <c r="BH16" s="210">
        <f t="shared" si="18"/>
        <v>129598000000</v>
      </c>
      <c r="BI16" s="210">
        <f t="shared" si="18"/>
        <v>148210000</v>
      </c>
      <c r="BJ16" s="210">
        <f t="shared" si="18"/>
        <v>574791000</v>
      </c>
      <c r="BK16" s="210"/>
      <c r="BL16" s="210">
        <f t="shared" ref="BL16" si="19">+BL14+BL15</f>
        <v>21351076</v>
      </c>
      <c r="BM16" s="210">
        <f t="shared" si="18"/>
        <v>475786176</v>
      </c>
      <c r="BN16" s="210">
        <f t="shared" si="18"/>
        <v>1551392398</v>
      </c>
      <c r="BO16" s="210">
        <f t="shared" ref="BO16:BP16" si="20">+BO14+BO15</f>
        <v>6395746149</v>
      </c>
      <c r="BP16" s="210">
        <f t="shared" si="20"/>
        <v>4601075878</v>
      </c>
      <c r="BQ16" s="210">
        <f t="shared" ref="BQ16:BV16" si="21">+BQ14+BQ15</f>
        <v>0</v>
      </c>
      <c r="BR16" s="210">
        <f t="shared" si="21"/>
        <v>359350</v>
      </c>
      <c r="BS16" s="210">
        <f t="shared" si="21"/>
        <v>0</v>
      </c>
      <c r="BT16" s="210">
        <f t="shared" si="21"/>
        <v>7519222</v>
      </c>
      <c r="BU16" s="210">
        <f t="shared" si="21"/>
        <v>31881922000</v>
      </c>
      <c r="BV16" s="210">
        <f t="shared" si="21"/>
        <v>26316593000</v>
      </c>
      <c r="BW16" s="210">
        <f t="shared" ref="BW16" si="22">+BW14+BW15</f>
        <v>729786008</v>
      </c>
      <c r="BX16" s="210">
        <f t="shared" ref="BX16" si="23">+BX14+BX15</f>
        <v>378041705</v>
      </c>
      <c r="BY16" s="210">
        <f t="shared" ref="BY16" si="24">+BY14+BY15</f>
        <v>1652802940</v>
      </c>
      <c r="BZ16" s="210">
        <f t="shared" ref="BZ16" si="25">+BZ14+BZ15</f>
        <v>1691210708</v>
      </c>
      <c r="CA16" s="210">
        <f t="shared" ref="CA16:CS16" si="26">+CA14+CA15</f>
        <v>1189474</v>
      </c>
      <c r="CB16" s="210">
        <f t="shared" si="26"/>
        <v>1009314</v>
      </c>
      <c r="CC16" s="210">
        <f t="shared" si="26"/>
        <v>827248504</v>
      </c>
      <c r="CD16" s="210">
        <f t="shared" si="26"/>
        <v>649117920</v>
      </c>
      <c r="CE16" s="210">
        <f t="shared" si="26"/>
        <v>79704247000</v>
      </c>
      <c r="CF16" s="210">
        <f t="shared" si="26"/>
        <v>74769226000</v>
      </c>
      <c r="CG16" s="210">
        <f t="shared" si="26"/>
        <v>7601000</v>
      </c>
      <c r="CH16" s="210">
        <f t="shared" si="26"/>
        <v>6057000</v>
      </c>
      <c r="CI16" s="210">
        <f t="shared" si="26"/>
        <v>169734000000</v>
      </c>
      <c r="CJ16" s="210">
        <f t="shared" si="26"/>
        <v>129598000000</v>
      </c>
      <c r="CK16" s="210">
        <f t="shared" si="26"/>
        <v>548034422</v>
      </c>
      <c r="CL16" s="210">
        <f t="shared" si="26"/>
        <v>2255496093</v>
      </c>
      <c r="CM16" s="210">
        <f t="shared" si="26"/>
        <v>18682933554</v>
      </c>
      <c r="CN16" s="210">
        <f t="shared" si="26"/>
        <v>10343751749</v>
      </c>
      <c r="CO16" s="210">
        <f t="shared" si="26"/>
        <v>10233460411</v>
      </c>
      <c r="CP16" s="210">
        <f t="shared" si="26"/>
        <v>2548358227</v>
      </c>
      <c r="CQ16" s="210">
        <f t="shared" si="26"/>
        <v>2933159107</v>
      </c>
      <c r="CR16" s="210">
        <f t="shared" si="26"/>
        <v>913978637</v>
      </c>
      <c r="CS16" s="210">
        <f t="shared" si="26"/>
        <v>3689007853</v>
      </c>
      <c r="CT16" s="210">
        <f t="shared" ref="CT16:CU16" si="27">+CT14+CT15</f>
        <v>163248039</v>
      </c>
      <c r="CU16" s="210">
        <f t="shared" si="27"/>
        <v>128009560</v>
      </c>
      <c r="CV16" s="210">
        <f t="shared" si="18"/>
        <v>648302183100</v>
      </c>
      <c r="CW16" s="210">
        <f t="shared" si="18"/>
        <v>624070532923</v>
      </c>
    </row>
    <row r="17" spans="1:101" x14ac:dyDescent="0.2">
      <c r="A17" s="218" t="s">
        <v>48</v>
      </c>
      <c r="B17" s="209"/>
      <c r="C17" s="209"/>
      <c r="D17" s="209"/>
      <c r="E17" s="209"/>
      <c r="F17" s="209"/>
      <c r="G17" s="209"/>
      <c r="H17" s="209"/>
      <c r="I17" s="209"/>
      <c r="J17" s="209"/>
      <c r="K17" s="209"/>
      <c r="L17" s="220"/>
      <c r="M17" s="220"/>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row>
    <row r="18" spans="1:101" x14ac:dyDescent="0.2">
      <c r="A18" s="214" t="s">
        <v>94</v>
      </c>
      <c r="B18" s="213">
        <v>800000000</v>
      </c>
      <c r="C18" s="213">
        <v>1000000000</v>
      </c>
      <c r="D18" s="213">
        <v>1042943000</v>
      </c>
      <c r="E18" s="213">
        <v>1042943000</v>
      </c>
      <c r="F18" s="213">
        <v>1100000000</v>
      </c>
      <c r="G18" s="213">
        <v>1100000000</v>
      </c>
      <c r="H18" s="213">
        <v>150000000</v>
      </c>
      <c r="I18" s="213">
        <v>150000000</v>
      </c>
      <c r="J18" s="213">
        <v>1586500000</v>
      </c>
      <c r="K18" s="213">
        <v>1586500000</v>
      </c>
      <c r="L18" s="220">
        <v>5000000</v>
      </c>
      <c r="M18" s="220">
        <v>5000000</v>
      </c>
      <c r="N18" s="213">
        <v>1344000000</v>
      </c>
      <c r="O18" s="213">
        <v>1344000000</v>
      </c>
      <c r="P18" s="213">
        <v>1622250000</v>
      </c>
      <c r="Q18" s="213">
        <v>1622250000</v>
      </c>
      <c r="R18" s="213">
        <v>150000000</v>
      </c>
      <c r="S18" s="213">
        <v>150000000</v>
      </c>
      <c r="T18" s="213">
        <v>2506400000</v>
      </c>
      <c r="U18" s="213">
        <v>2506400000</v>
      </c>
      <c r="V18" s="213">
        <v>2506400000</v>
      </c>
      <c r="W18" s="213">
        <v>215000000</v>
      </c>
      <c r="X18" s="213">
        <v>215000000</v>
      </c>
      <c r="Y18" s="213">
        <v>500000000</v>
      </c>
      <c r="Z18" s="213">
        <v>500000000</v>
      </c>
      <c r="AA18" s="213">
        <v>950000000</v>
      </c>
      <c r="AB18" s="213">
        <v>950000000</v>
      </c>
      <c r="AC18" s="213">
        <v>966000000</v>
      </c>
      <c r="AD18" s="213">
        <v>966000000</v>
      </c>
      <c r="AE18" s="213">
        <v>580000000</v>
      </c>
      <c r="AF18" s="213">
        <v>580000000</v>
      </c>
      <c r="AG18" s="213">
        <v>1501710029</v>
      </c>
      <c r="AH18" s="213">
        <v>1501710029</v>
      </c>
      <c r="AI18" s="213">
        <v>2600000000</v>
      </c>
      <c r="AJ18" s="213">
        <v>2600000000</v>
      </c>
      <c r="AK18" s="213">
        <v>1050000000</v>
      </c>
      <c r="AL18" s="213">
        <v>1050000000</v>
      </c>
      <c r="AM18" s="213">
        <v>500000000</v>
      </c>
      <c r="AN18" s="213">
        <v>500000000</v>
      </c>
      <c r="AO18" s="213">
        <v>250000000</v>
      </c>
      <c r="AP18" s="213">
        <v>250000000</v>
      </c>
      <c r="AQ18" s="213">
        <v>4000000000</v>
      </c>
      <c r="AR18" s="213">
        <v>5590868881</v>
      </c>
      <c r="AS18" s="213">
        <v>860000000</v>
      </c>
      <c r="AT18" s="213">
        <v>860000000</v>
      </c>
      <c r="AU18" s="213">
        <v>1200000000</v>
      </c>
      <c r="AV18" s="213">
        <v>1200000000</v>
      </c>
      <c r="AW18" s="213">
        <v>1400000000</v>
      </c>
      <c r="AX18" s="213">
        <v>1400000000</v>
      </c>
      <c r="AY18" s="213">
        <v>734000000</v>
      </c>
      <c r="AZ18" s="213">
        <v>734000000</v>
      </c>
      <c r="BA18" s="213">
        <v>463500000</v>
      </c>
      <c r="BB18" s="213">
        <v>463500000</v>
      </c>
      <c r="BC18" s="213">
        <v>2440527492</v>
      </c>
      <c r="BD18" s="213">
        <v>2440527492</v>
      </c>
      <c r="BE18" s="213">
        <v>6570000000</v>
      </c>
      <c r="BF18" s="213">
        <v>6570000000</v>
      </c>
      <c r="BG18" s="213">
        <v>4500000000</v>
      </c>
      <c r="BH18" s="213">
        <v>4500000000</v>
      </c>
      <c r="BI18" s="213">
        <v>1062614000</v>
      </c>
      <c r="BJ18" s="213">
        <v>1062614000</v>
      </c>
      <c r="BK18" s="213"/>
      <c r="BL18" s="213">
        <v>180000000</v>
      </c>
      <c r="BM18" s="213">
        <v>1500000000</v>
      </c>
      <c r="BN18" s="213">
        <v>1500000000</v>
      </c>
      <c r="BO18" s="213">
        <v>854000000</v>
      </c>
      <c r="BP18" s="213">
        <v>854000000</v>
      </c>
      <c r="BQ18" s="213"/>
      <c r="BR18" s="213">
        <v>450000</v>
      </c>
      <c r="BS18" s="213"/>
      <c r="BT18" s="213">
        <v>5000000</v>
      </c>
      <c r="BU18" s="209">
        <v>11504727000</v>
      </c>
      <c r="BV18" s="209">
        <v>11504727000</v>
      </c>
      <c r="BW18" s="209">
        <v>650000000</v>
      </c>
      <c r="BX18" s="209">
        <v>650000000</v>
      </c>
      <c r="BY18" s="209">
        <v>200000000</v>
      </c>
      <c r="BZ18" s="209">
        <v>200000000</v>
      </c>
      <c r="CA18" s="213">
        <v>650000</v>
      </c>
      <c r="CB18" s="213">
        <v>650000</v>
      </c>
      <c r="CC18" s="213">
        <v>1139160000</v>
      </c>
      <c r="CD18" s="213">
        <v>1139160000</v>
      </c>
      <c r="CE18" s="213">
        <v>623710000</v>
      </c>
      <c r="CF18" s="213">
        <v>623710000</v>
      </c>
      <c r="CG18" s="213">
        <v>69420000</v>
      </c>
      <c r="CH18" s="213">
        <v>69200000</v>
      </c>
      <c r="CI18" s="213">
        <v>4500000000</v>
      </c>
      <c r="CJ18" s="213">
        <v>4500000000</v>
      </c>
      <c r="CK18" s="213">
        <v>350000000</v>
      </c>
      <c r="CL18" s="213">
        <v>350000000</v>
      </c>
      <c r="CM18" s="213">
        <v>2899796742</v>
      </c>
      <c r="CN18" s="213">
        <v>2999796545</v>
      </c>
      <c r="CO18" s="213">
        <v>2999796545</v>
      </c>
      <c r="CP18" s="213">
        <v>2543168328</v>
      </c>
      <c r="CQ18" s="213">
        <v>2546430112</v>
      </c>
      <c r="CR18" s="213">
        <v>1684650000</v>
      </c>
      <c r="CS18" s="213">
        <v>1684650000</v>
      </c>
      <c r="CT18" s="213">
        <v>1500000000</v>
      </c>
      <c r="CU18" s="213">
        <v>1500000000</v>
      </c>
      <c r="CV18" s="209">
        <f t="shared" ref="CV18:CV31" si="28">+B18+D18+F18+H18+J18+L18+N18+P18+R18+T18+W18+Y18+AA18+AC18+AE18+AG18+AI18+AK18+AM18+AO18+AQ18+AS18+AU18+AW18+AY18+BA18+BC18+BE18+BG18+BI18+BK18+BM18+BO18+BQ18+BS18+BU18+BW18+BY18+CA18+CC18+CE18+CG18+CI18+CK18+CM18+CP18+CR18</f>
        <v>71169726591</v>
      </c>
      <c r="CW18" s="209">
        <f t="shared" ref="CW18:CW31" si="29">+C18+E18+G18+I18+K18+M18+O18+Q18+S18+U18+X18+Z18+AB18+AD18+AF18+AH18+AJ18+AL18+AN18+AP18+AR18+AT18+AV18+AX18+AZ18+BB18+BD18+BF18+BH18+BJ18+BL18+BN18+BP18+BR18+BT18+BV18+BX18+BZ18+CB18+CD18+CF18+CH18+CJ18+CL18+CN18+CQ18+CS18</f>
        <v>73249087059</v>
      </c>
    </row>
    <row r="19" spans="1:101" x14ac:dyDescent="0.2">
      <c r="A19" s="214" t="s">
        <v>182</v>
      </c>
      <c r="B19" s="213"/>
      <c r="C19" s="213"/>
      <c r="D19" s="213"/>
      <c r="E19" s="213"/>
      <c r="F19" s="213"/>
      <c r="G19" s="213"/>
      <c r="H19" s="213"/>
      <c r="I19" s="213"/>
      <c r="J19" s="213"/>
      <c r="K19" s="213"/>
      <c r="L19" s="220"/>
      <c r="M19" s="220"/>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v>1950545000</v>
      </c>
      <c r="BJ19" s="213">
        <v>1950545000</v>
      </c>
      <c r="BK19" s="213"/>
      <c r="BL19" s="213"/>
      <c r="BM19" s="213"/>
      <c r="BN19" s="213"/>
      <c r="BO19" s="213"/>
      <c r="BP19" s="213"/>
      <c r="BQ19" s="213"/>
      <c r="BR19" s="213"/>
      <c r="BS19" s="213"/>
      <c r="BT19" s="213"/>
      <c r="BU19" s="209"/>
      <c r="BV19" s="209"/>
      <c r="BX19" s="209"/>
      <c r="BY19" s="209"/>
      <c r="BZ19" s="209"/>
      <c r="CA19" s="213"/>
      <c r="CB19" s="213"/>
      <c r="CC19" s="213"/>
      <c r="CD19" s="213"/>
      <c r="CE19" s="213"/>
      <c r="CF19" s="213"/>
      <c r="CG19" s="213"/>
      <c r="CH19" s="213"/>
      <c r="CI19" s="213"/>
      <c r="CJ19" s="213"/>
      <c r="CK19" s="213"/>
      <c r="CL19" s="213"/>
      <c r="CM19" s="213"/>
      <c r="CN19" s="213"/>
      <c r="CO19" s="213"/>
      <c r="CP19" s="213"/>
      <c r="CQ19" s="213"/>
      <c r="CR19" s="213"/>
      <c r="CS19" s="213"/>
      <c r="CT19" s="213"/>
      <c r="CU19" s="213"/>
      <c r="CV19" s="209">
        <f t="shared" si="28"/>
        <v>1950545000</v>
      </c>
      <c r="CW19" s="209">
        <f t="shared" si="29"/>
        <v>1950545000</v>
      </c>
    </row>
    <row r="20" spans="1:101" x14ac:dyDescent="0.2">
      <c r="A20" s="214" t="s">
        <v>181</v>
      </c>
      <c r="B20" s="213"/>
      <c r="C20" s="213"/>
      <c r="D20" s="213"/>
      <c r="E20" s="213"/>
      <c r="F20" s="213"/>
      <c r="G20" s="213"/>
      <c r="H20" s="213"/>
      <c r="I20" s="213"/>
      <c r="J20" s="213"/>
      <c r="K20" s="213"/>
      <c r="L20" s="220"/>
      <c r="M20" s="220"/>
      <c r="N20" s="213"/>
      <c r="O20" s="213"/>
      <c r="P20" s="213"/>
      <c r="Q20" s="213"/>
      <c r="R20" s="213"/>
      <c r="S20" s="213"/>
      <c r="T20" s="213"/>
      <c r="U20" s="213"/>
      <c r="V20" s="213"/>
      <c r="W20" s="213"/>
      <c r="X20" s="213"/>
      <c r="Y20" s="213"/>
      <c r="Z20" s="213"/>
      <c r="AA20" s="213"/>
      <c r="AB20" s="213"/>
      <c r="AC20" s="213"/>
      <c r="AD20" s="213"/>
      <c r="AE20" s="213"/>
      <c r="AF20" s="213"/>
      <c r="AG20" s="213"/>
      <c r="AH20" s="213"/>
      <c r="AI20" s="209">
        <v>1000000000</v>
      </c>
      <c r="AJ20" s="209">
        <v>1000000000</v>
      </c>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09"/>
      <c r="BV20" s="209"/>
      <c r="BW20" s="209"/>
      <c r="BX20" s="209"/>
      <c r="BY20" s="209"/>
      <c r="BZ20" s="209"/>
      <c r="CA20" s="213"/>
      <c r="CB20" s="213"/>
      <c r="CC20" s="213"/>
      <c r="CD20" s="213"/>
      <c r="CE20" s="213"/>
      <c r="CF20" s="213"/>
      <c r="CG20" s="213"/>
      <c r="CH20" s="213"/>
      <c r="CI20" s="213"/>
      <c r="CJ20" s="213"/>
      <c r="CK20" s="213"/>
      <c r="CL20" s="213"/>
      <c r="CM20" s="213"/>
      <c r="CN20" s="213">
        <v>4900000000</v>
      </c>
      <c r="CO20" s="213">
        <v>4900000000</v>
      </c>
      <c r="CP20" s="213"/>
      <c r="CQ20" s="213"/>
      <c r="CR20" s="213"/>
      <c r="CS20" s="213"/>
      <c r="CT20" s="213"/>
      <c r="CU20" s="213"/>
      <c r="CV20" s="209">
        <f t="shared" si="28"/>
        <v>1000000000</v>
      </c>
      <c r="CW20" s="209">
        <f t="shared" si="29"/>
        <v>5900000000</v>
      </c>
    </row>
    <row r="21" spans="1:101" s="216" customFormat="1" x14ac:dyDescent="0.2">
      <c r="A21" s="214" t="s">
        <v>50</v>
      </c>
      <c r="B21" s="213">
        <v>0</v>
      </c>
      <c r="C21" s="213">
        <v>12474195</v>
      </c>
      <c r="D21" s="213">
        <v>710106698</v>
      </c>
      <c r="E21" s="213">
        <v>710106698</v>
      </c>
      <c r="F21" s="213"/>
      <c r="G21" s="213"/>
      <c r="H21" s="213">
        <v>15006298</v>
      </c>
      <c r="I21" s="213">
        <v>15006298</v>
      </c>
      <c r="J21" s="213"/>
      <c r="K21" s="213"/>
      <c r="L21" s="220">
        <v>2340035</v>
      </c>
      <c r="M21" s="220">
        <v>2402002</v>
      </c>
      <c r="N21" s="213">
        <v>479178405</v>
      </c>
      <c r="O21" s="213">
        <v>590252937</v>
      </c>
      <c r="P21" s="213">
        <v>1162074110</v>
      </c>
      <c r="Q21" s="213">
        <v>1162074110</v>
      </c>
      <c r="R21" s="213">
        <v>15006298</v>
      </c>
      <c r="S21" s="213">
        <v>15006298</v>
      </c>
      <c r="T21" s="213">
        <v>726420573</v>
      </c>
      <c r="U21" s="213">
        <v>726420573</v>
      </c>
      <c r="V21" s="213">
        <v>726420573</v>
      </c>
      <c r="W21" s="213">
        <v>21188000</v>
      </c>
      <c r="X21" s="213">
        <v>21188000</v>
      </c>
      <c r="Y21" s="213">
        <v>84059979</v>
      </c>
      <c r="Z21" s="213">
        <v>84059979</v>
      </c>
      <c r="AA21" s="213"/>
      <c r="AB21" s="213"/>
      <c r="AC21" s="213">
        <v>96687413</v>
      </c>
      <c r="AD21" s="213">
        <v>96687413</v>
      </c>
      <c r="AE21" s="213"/>
      <c r="AF21" s="213">
        <v>2127274</v>
      </c>
      <c r="AG21" s="213">
        <v>21404079</v>
      </c>
      <c r="AH21" s="213">
        <v>21404077</v>
      </c>
      <c r="AI21" s="213"/>
      <c r="AJ21" s="213"/>
      <c r="AK21" s="213">
        <v>86590263</v>
      </c>
      <c r="AL21" s="213">
        <v>86590263</v>
      </c>
      <c r="AM21" s="213"/>
      <c r="AN21" s="213"/>
      <c r="AO21" s="213">
        <v>12885000</v>
      </c>
      <c r="AP21" s="213">
        <v>12885000</v>
      </c>
      <c r="AQ21" s="213">
        <v>77184994</v>
      </c>
      <c r="AR21" s="213">
        <v>77184994</v>
      </c>
      <c r="AS21" s="213">
        <v>22371947</v>
      </c>
      <c r="AT21" s="213">
        <v>22371947</v>
      </c>
      <c r="AU21" s="213"/>
      <c r="AV21" s="213"/>
      <c r="AW21" s="213"/>
      <c r="AX21" s="213"/>
      <c r="AY21" s="213">
        <v>18000000</v>
      </c>
      <c r="AZ21" s="213">
        <v>18000000</v>
      </c>
      <c r="BA21" s="213">
        <v>58149217</v>
      </c>
      <c r="BB21" s="213">
        <v>68609511</v>
      </c>
      <c r="BC21" s="213"/>
      <c r="BD21" s="213"/>
      <c r="BE21" s="213"/>
      <c r="BF21" s="213"/>
      <c r="BG21" s="213"/>
      <c r="BH21" s="213"/>
      <c r="BI21" s="213"/>
      <c r="BJ21" s="213"/>
      <c r="BK21" s="213"/>
      <c r="BL21" s="213"/>
      <c r="BM21" s="213"/>
      <c r="BN21" s="213"/>
      <c r="BO21" s="213">
        <v>22692447</v>
      </c>
      <c r="BP21" s="213">
        <v>22692447</v>
      </c>
      <c r="BQ21" s="213"/>
      <c r="BR21" s="213">
        <v>9552</v>
      </c>
      <c r="BS21" s="213"/>
      <c r="BT21" s="213"/>
      <c r="BU21" s="209">
        <v>547452000</v>
      </c>
      <c r="BV21" s="209">
        <v>547452000</v>
      </c>
      <c r="BW21" s="209">
        <v>76169880</v>
      </c>
      <c r="BX21" s="209">
        <v>76169880</v>
      </c>
      <c r="BY21" s="209">
        <v>98923397</v>
      </c>
      <c r="BZ21" s="209">
        <v>110240783</v>
      </c>
      <c r="CA21" s="213">
        <v>195664</v>
      </c>
      <c r="CB21" s="213">
        <v>195664</v>
      </c>
      <c r="CC21" s="213">
        <v>29781114</v>
      </c>
      <c r="CD21" s="213">
        <v>29781114</v>
      </c>
      <c r="CE21" s="213">
        <v>122297000</v>
      </c>
      <c r="CF21" s="213">
        <v>122297000</v>
      </c>
      <c r="CG21" s="213"/>
      <c r="CH21" s="213"/>
      <c r="CI21" s="213"/>
      <c r="CJ21" s="213"/>
      <c r="CK21" s="213">
        <v>149752440</v>
      </c>
      <c r="CL21" s="213">
        <v>161166122</v>
      </c>
      <c r="CM21" s="213"/>
      <c r="CN21" s="213"/>
      <c r="CO21" s="213">
        <v>351828620</v>
      </c>
      <c r="CP21" s="213"/>
      <c r="CQ21" s="213"/>
      <c r="CR21" s="213">
        <v>4722052</v>
      </c>
      <c r="CS21" s="213">
        <v>4722052</v>
      </c>
      <c r="CT21" s="213"/>
      <c r="CU21" s="213"/>
      <c r="CV21" s="209">
        <f t="shared" si="28"/>
        <v>4660639303</v>
      </c>
      <c r="CW21" s="209">
        <f t="shared" si="29"/>
        <v>4819578183</v>
      </c>
    </row>
    <row r="22" spans="1:101" s="216" customFormat="1" x14ac:dyDescent="0.2">
      <c r="A22" s="214" t="s">
        <v>95</v>
      </c>
      <c r="B22" s="213"/>
      <c r="C22" s="213"/>
      <c r="D22" s="213"/>
      <c r="E22" s="213"/>
      <c r="F22" s="213"/>
      <c r="G22" s="213"/>
      <c r="H22" s="213"/>
      <c r="I22" s="213"/>
      <c r="J22" s="213"/>
      <c r="K22" s="213"/>
      <c r="L22" s="220"/>
      <c r="M22" s="220"/>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v>92331000</v>
      </c>
      <c r="AN22" s="213">
        <v>97578000</v>
      </c>
      <c r="AO22" s="213"/>
      <c r="AP22" s="213"/>
      <c r="AQ22" s="213">
        <v>281249823</v>
      </c>
      <c r="AR22" s="213">
        <v>281249823</v>
      </c>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09"/>
      <c r="BV22" s="209"/>
      <c r="BW22" s="209"/>
      <c r="BX22" s="209"/>
      <c r="BY22" s="209"/>
      <c r="BZ22" s="209"/>
      <c r="CA22" s="213"/>
      <c r="CB22" s="213"/>
      <c r="CC22" s="213"/>
      <c r="CD22" s="213"/>
      <c r="CE22" s="213"/>
      <c r="CF22" s="213"/>
      <c r="CG22" s="213"/>
      <c r="CH22" s="213"/>
      <c r="CI22" s="213"/>
      <c r="CJ22" s="213"/>
      <c r="CK22" s="213"/>
      <c r="CL22" s="213"/>
      <c r="CM22" s="213"/>
      <c r="CN22" s="213"/>
      <c r="CO22" s="213"/>
      <c r="CP22" s="213"/>
      <c r="CQ22" s="213"/>
      <c r="CR22" s="213"/>
      <c r="CS22" s="213"/>
      <c r="CT22" s="213"/>
      <c r="CU22" s="213"/>
      <c r="CV22" s="209">
        <f t="shared" si="28"/>
        <v>373580823</v>
      </c>
      <c r="CW22" s="209">
        <f t="shared" si="29"/>
        <v>378827823</v>
      </c>
    </row>
    <row r="23" spans="1:101" x14ac:dyDescent="0.2">
      <c r="A23" s="214" t="s">
        <v>51</v>
      </c>
      <c r="B23" s="209"/>
      <c r="C23" s="209"/>
      <c r="D23" s="213"/>
      <c r="E23" s="209"/>
      <c r="F23" s="209"/>
      <c r="G23" s="209"/>
      <c r="H23" s="209"/>
      <c r="I23" s="209"/>
      <c r="J23" s="209"/>
      <c r="K23" s="209"/>
      <c r="L23" s="220"/>
      <c r="M23" s="220"/>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c r="CM23" s="209"/>
      <c r="CN23" s="209"/>
      <c r="CO23" s="209"/>
      <c r="CP23" s="209"/>
      <c r="CQ23" s="209"/>
      <c r="CR23" s="209"/>
      <c r="CS23" s="209"/>
      <c r="CT23" s="209"/>
      <c r="CU23" s="209"/>
      <c r="CV23" s="209">
        <f t="shared" si="28"/>
        <v>0</v>
      </c>
      <c r="CW23" s="209">
        <f t="shared" si="29"/>
        <v>0</v>
      </c>
    </row>
    <row r="24" spans="1:101" s="216" customFormat="1" x14ac:dyDescent="0.2">
      <c r="A24" s="214" t="s">
        <v>52</v>
      </c>
      <c r="B24" s="209"/>
      <c r="C24" s="209"/>
      <c r="D24" s="209">
        <f>2000000000-2000000000</f>
        <v>0</v>
      </c>
      <c r="E24" s="209">
        <f>2000000000-2000000000</f>
        <v>0</v>
      </c>
      <c r="F24" s="209">
        <v>1247084526</v>
      </c>
      <c r="G24" s="209">
        <v>1247084526</v>
      </c>
      <c r="H24" s="209"/>
      <c r="I24" s="209"/>
      <c r="J24" s="209">
        <v>950000000</v>
      </c>
      <c r="K24" s="209">
        <v>950000000</v>
      </c>
      <c r="L24" s="220">
        <v>4000000</v>
      </c>
      <c r="M24" s="220">
        <v>4000000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v>241625199</v>
      </c>
      <c r="AX24" s="209">
        <v>241625199</v>
      </c>
      <c r="AY24" s="209"/>
      <c r="AZ24" s="209"/>
      <c r="BA24" s="209"/>
      <c r="BB24" s="209"/>
      <c r="BC24" s="209"/>
      <c r="BD24" s="209"/>
      <c r="BE24" s="209"/>
      <c r="BF24" s="209"/>
      <c r="BG24" s="209">
        <v>13322000000</v>
      </c>
      <c r="BH24" s="209">
        <v>13322000000</v>
      </c>
      <c r="BI24" s="209"/>
      <c r="BJ24" s="209"/>
      <c r="BK24" s="209"/>
      <c r="BL24" s="209"/>
      <c r="BM24" s="209"/>
      <c r="BN24" s="209"/>
      <c r="BO24" s="209"/>
      <c r="BP24" s="209"/>
      <c r="BQ24" s="209"/>
      <c r="BR24" s="209"/>
      <c r="BS24" s="209"/>
      <c r="BT24" s="209"/>
      <c r="BU24" s="209">
        <v>-79845000</v>
      </c>
      <c r="BV24" s="209">
        <v>-79845000</v>
      </c>
      <c r="BW24" s="209"/>
      <c r="BX24" s="209"/>
      <c r="BY24" s="209"/>
      <c r="BZ24" s="209"/>
      <c r="CA24" s="209"/>
      <c r="CB24" s="209"/>
      <c r="CC24" s="209"/>
      <c r="CD24" s="209"/>
      <c r="CE24" s="209">
        <v>15745156000</v>
      </c>
      <c r="CF24" s="209">
        <v>15745156000</v>
      </c>
      <c r="CG24" s="209"/>
      <c r="CH24" s="209"/>
      <c r="CI24" s="209">
        <v>13322000000</v>
      </c>
      <c r="CJ24" s="209">
        <v>13322000000</v>
      </c>
      <c r="CK24" s="209"/>
      <c r="CL24" s="209"/>
      <c r="CM24" s="209"/>
      <c r="CN24" s="209"/>
      <c r="CO24" s="209"/>
      <c r="CP24" s="209"/>
      <c r="CQ24" s="209"/>
      <c r="CR24" s="209"/>
      <c r="CS24" s="209"/>
      <c r="CT24" s="209"/>
      <c r="CU24" s="209"/>
      <c r="CV24" s="209">
        <f t="shared" si="28"/>
        <v>44752020725</v>
      </c>
      <c r="CW24" s="209">
        <f t="shared" si="29"/>
        <v>44752020725</v>
      </c>
    </row>
    <row r="25" spans="1:101" s="216" customFormat="1" x14ac:dyDescent="0.2">
      <c r="A25" s="214" t="s">
        <v>53</v>
      </c>
      <c r="B25" s="211"/>
      <c r="C25" s="211"/>
      <c r="D25" s="211"/>
      <c r="E25" s="211"/>
      <c r="F25" s="209">
        <v>166887459</v>
      </c>
      <c r="G25" s="209">
        <v>305350573</v>
      </c>
      <c r="H25" s="211"/>
      <c r="I25" s="211"/>
      <c r="J25" s="211"/>
      <c r="K25" s="211"/>
      <c r="L25" s="220"/>
      <c r="M25" s="220"/>
      <c r="N25" s="211"/>
      <c r="O25" s="211"/>
      <c r="P25" s="211">
        <v>15821216000</v>
      </c>
      <c r="Q25" s="211">
        <v>15821216000</v>
      </c>
      <c r="R25" s="211"/>
      <c r="S25" s="211"/>
      <c r="T25" s="211"/>
      <c r="U25" s="211"/>
      <c r="V25" s="211"/>
      <c r="W25" s="211"/>
      <c r="X25" s="211"/>
      <c r="Y25" s="211"/>
      <c r="Z25" s="211"/>
      <c r="AA25" s="211"/>
      <c r="AB25" s="211"/>
      <c r="AC25" s="213"/>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v>204777000</v>
      </c>
      <c r="AZ25" s="211">
        <v>204777000</v>
      </c>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09">
        <v>1108849667</v>
      </c>
      <c r="BX25" s="209">
        <v>1108849667</v>
      </c>
      <c r="BY25" s="211"/>
      <c r="BZ25" s="211"/>
      <c r="CA25" s="211"/>
      <c r="CB25" s="211"/>
      <c r="CC25" s="211"/>
      <c r="CD25" s="211"/>
      <c r="CE25" s="211"/>
      <c r="CF25" s="211"/>
      <c r="CG25" s="211"/>
      <c r="CH25" s="211"/>
      <c r="CI25" s="211"/>
      <c r="CJ25" s="211"/>
      <c r="CK25" s="211"/>
      <c r="CL25" s="211"/>
      <c r="CM25" s="211"/>
      <c r="CN25" s="211"/>
      <c r="CO25" s="209">
        <v>18369571999</v>
      </c>
      <c r="CP25" s="211"/>
      <c r="CQ25" s="211"/>
      <c r="CR25" s="211"/>
      <c r="CS25" s="211">
        <v>3650000000</v>
      </c>
      <c r="CT25" s="211"/>
      <c r="CU25" s="211"/>
      <c r="CV25" s="209">
        <f t="shared" si="28"/>
        <v>17301730126</v>
      </c>
      <c r="CW25" s="209">
        <f t="shared" si="29"/>
        <v>21090193240</v>
      </c>
    </row>
    <row r="26" spans="1:101" x14ac:dyDescent="0.2">
      <c r="A26" s="214" t="s">
        <v>54</v>
      </c>
      <c r="B26" s="209">
        <v>124741950</v>
      </c>
      <c r="C26" s="209">
        <v>240556470</v>
      </c>
      <c r="D26" s="209">
        <v>2124039414</v>
      </c>
      <c r="E26" s="213">
        <v>-1172492141</v>
      </c>
      <c r="F26" s="209">
        <v>1384631143</v>
      </c>
      <c r="G26" s="213">
        <v>1121815419</v>
      </c>
      <c r="H26" s="213">
        <v>87735610</v>
      </c>
      <c r="I26" s="213">
        <v>51540733</v>
      </c>
      <c r="J26" s="213">
        <v>16557360</v>
      </c>
      <c r="K26" s="213">
        <v>24761217</v>
      </c>
      <c r="L26" s="220"/>
      <c r="M26" s="220"/>
      <c r="N26" s="213">
        <v>1110745323</v>
      </c>
      <c r="O26" s="213">
        <v>278135779</v>
      </c>
      <c r="P26" s="213">
        <v>12393985114</v>
      </c>
      <c r="Q26" s="213">
        <v>13415531726</v>
      </c>
      <c r="R26" s="213">
        <v>87735610</v>
      </c>
      <c r="S26" s="213">
        <v>51540733</v>
      </c>
      <c r="T26" s="213">
        <v>431795987</v>
      </c>
      <c r="U26" s="213">
        <v>148879721</v>
      </c>
      <c r="V26" s="213">
        <v>1186153294</v>
      </c>
      <c r="W26" s="213">
        <v>24447000</v>
      </c>
      <c r="X26" s="213">
        <v>53061000</v>
      </c>
      <c r="Y26" s="213">
        <v>-167480496</v>
      </c>
      <c r="Z26" s="213">
        <v>950580916</v>
      </c>
      <c r="AA26" s="213"/>
      <c r="AB26" s="213"/>
      <c r="AC26" s="213">
        <v>1458691872</v>
      </c>
      <c r="AD26" s="213">
        <v>482960549</v>
      </c>
      <c r="AE26" s="213">
        <v>21272739</v>
      </c>
      <c r="AF26" s="213">
        <v>4157626</v>
      </c>
      <c r="AG26" s="213">
        <v>280186531</v>
      </c>
      <c r="AH26" s="213">
        <v>490528530</v>
      </c>
      <c r="AI26" s="213">
        <v>6332732000</v>
      </c>
      <c r="AJ26" s="213">
        <v>-1237530000</v>
      </c>
      <c r="AK26" s="213">
        <v>698422138</v>
      </c>
      <c r="AL26" s="213">
        <v>1405277345</v>
      </c>
      <c r="AM26" s="213">
        <v>42760000</v>
      </c>
      <c r="AN26" s="213">
        <v>52249000</v>
      </c>
      <c r="AO26" s="213">
        <v>370073000</v>
      </c>
      <c r="AP26" s="213">
        <v>-1161936000</v>
      </c>
      <c r="AQ26" s="213">
        <v>397447077</v>
      </c>
      <c r="AR26" s="213">
        <v>-3412751719</v>
      </c>
      <c r="AS26" s="213">
        <v>7233000</v>
      </c>
      <c r="AT26" s="213">
        <v>-985297651</v>
      </c>
      <c r="AU26" s="213">
        <v>179569000</v>
      </c>
      <c r="AV26" s="213">
        <v>181098532</v>
      </c>
      <c r="AW26" s="213">
        <v>14595326</v>
      </c>
      <c r="AX26" s="213">
        <v>135983206</v>
      </c>
      <c r="AY26" s="213">
        <v>41052000</v>
      </c>
      <c r="AZ26" s="213">
        <v>39910000</v>
      </c>
      <c r="BA26" s="213">
        <v>120755660</v>
      </c>
      <c r="BB26" s="213">
        <v>186714038</v>
      </c>
      <c r="BC26" s="213">
        <v>111287151</v>
      </c>
      <c r="BD26" s="213">
        <v>777560616</v>
      </c>
      <c r="BE26" s="213">
        <v>-642040956</v>
      </c>
      <c r="BF26" s="213">
        <v>-523299110</v>
      </c>
      <c r="BG26" s="213">
        <v>-4521000000</v>
      </c>
      <c r="BH26" s="213">
        <v>3695000000</v>
      </c>
      <c r="BI26" s="213">
        <v>423122000</v>
      </c>
      <c r="BJ26" s="213">
        <v>-21180000</v>
      </c>
      <c r="BK26" s="213"/>
      <c r="BL26" s="213">
        <v>34452297</v>
      </c>
      <c r="BM26" s="213">
        <v>91323710</v>
      </c>
      <c r="BN26" s="213">
        <v>288739234</v>
      </c>
      <c r="BO26" s="213">
        <v>370034790</v>
      </c>
      <c r="BP26" s="213">
        <v>559571220</v>
      </c>
      <c r="BQ26" s="209"/>
      <c r="BR26" s="213">
        <v>50867</v>
      </c>
      <c r="BS26" s="209"/>
      <c r="BT26" s="213">
        <v>10899984</v>
      </c>
      <c r="BU26" s="209"/>
      <c r="BV26" s="209"/>
      <c r="BW26" s="209">
        <v>27652926</v>
      </c>
      <c r="BX26" s="209">
        <v>10978332</v>
      </c>
      <c r="BY26" s="209">
        <v>80554667</v>
      </c>
      <c r="BZ26" s="209">
        <v>101856477</v>
      </c>
      <c r="CA26" s="213">
        <v>42487</v>
      </c>
      <c r="CB26" s="213">
        <v>-27317</v>
      </c>
      <c r="CC26" s="213">
        <v>262808941</v>
      </c>
      <c r="CD26" s="213">
        <v>369511263</v>
      </c>
      <c r="CE26" s="213">
        <v>-2167622000</v>
      </c>
      <c r="CF26" s="213">
        <v>7377002000</v>
      </c>
      <c r="CG26" s="213">
        <v>1655000</v>
      </c>
      <c r="CH26" s="213">
        <v>2055000</v>
      </c>
      <c r="CI26" s="213">
        <v>-4521000000</v>
      </c>
      <c r="CJ26" s="213">
        <v>3695000000</v>
      </c>
      <c r="CK26" s="213">
        <v>114136815</v>
      </c>
      <c r="CL26" s="213">
        <v>275910347</v>
      </c>
      <c r="CM26" s="213">
        <v>-4329251182</v>
      </c>
      <c r="CN26" s="213">
        <v>3518286202</v>
      </c>
      <c r="CO26" s="213">
        <v>-254646421</v>
      </c>
      <c r="CP26" s="213"/>
      <c r="CQ26" s="213"/>
      <c r="CR26" s="213">
        <v>4462954</v>
      </c>
      <c r="CS26" s="213">
        <v>270219950</v>
      </c>
      <c r="CT26" s="213">
        <v>177042297</v>
      </c>
      <c r="CU26" s="213">
        <v>47937075</v>
      </c>
      <c r="CV26" s="209">
        <f t="shared" si="28"/>
        <v>12889891661</v>
      </c>
      <c r="CW26" s="209">
        <f t="shared" si="29"/>
        <v>31787862391</v>
      </c>
    </row>
    <row r="27" spans="1:101" x14ac:dyDescent="0.2">
      <c r="A27" s="214" t="s">
        <v>55</v>
      </c>
      <c r="B27" s="213">
        <v>132769662</v>
      </c>
      <c r="C27" s="213">
        <v>32878008</v>
      </c>
      <c r="D27" s="213">
        <v>3496930073</v>
      </c>
      <c r="E27" s="213">
        <v>5620969486</v>
      </c>
      <c r="F27" s="213">
        <v>1908090524</v>
      </c>
      <c r="G27" s="213">
        <v>2814258552</v>
      </c>
      <c r="H27" s="213">
        <v>761615579</v>
      </c>
      <c r="I27" s="213">
        <v>849351189</v>
      </c>
      <c r="J27" s="213">
        <v>721559568</v>
      </c>
      <c r="K27" s="213">
        <v>738116929</v>
      </c>
      <c r="L27" s="220">
        <v>-5030274</v>
      </c>
      <c r="M27" s="220">
        <v>-2859061</v>
      </c>
      <c r="N27" s="213">
        <v>3456979862</v>
      </c>
      <c r="O27" s="213">
        <v>4599393427</v>
      </c>
      <c r="P27" s="213">
        <v>61530653773</v>
      </c>
      <c r="Q27" s="213">
        <v>73924638887</v>
      </c>
      <c r="R27" s="213">
        <v>761615579</v>
      </c>
      <c r="S27" s="213">
        <v>849351189</v>
      </c>
      <c r="T27" s="213">
        <v>3322410733</v>
      </c>
      <c r="U27" s="213">
        <v>3754206722</v>
      </c>
      <c r="V27" s="213">
        <v>3931019441</v>
      </c>
      <c r="W27" s="213">
        <v>372174000</v>
      </c>
      <c r="X27" s="213">
        <v>439769000</v>
      </c>
      <c r="Y27" s="213">
        <v>5149399280</v>
      </c>
      <c r="Z27" s="213">
        <v>4981918784</v>
      </c>
      <c r="AA27" s="213"/>
      <c r="AB27" s="213"/>
      <c r="AC27" s="213">
        <v>2675024313</v>
      </c>
      <c r="AD27" s="213">
        <v>4133716185</v>
      </c>
      <c r="AE27" s="213">
        <v>-55338059</v>
      </c>
      <c r="AF27" s="213">
        <v>-36192594</v>
      </c>
      <c r="AG27" s="213">
        <v>-484985208</v>
      </c>
      <c r="AH27" s="213">
        <v>-204798485</v>
      </c>
      <c r="AI27" s="213">
        <v>-3819047000</v>
      </c>
      <c r="AJ27" s="213">
        <v>2513685000</v>
      </c>
      <c r="AK27" s="213">
        <v>-11527950</v>
      </c>
      <c r="AL27" s="213">
        <v>686894188</v>
      </c>
      <c r="AM27" s="213">
        <v>-1023000</v>
      </c>
      <c r="AN27" s="213">
        <v>36489000</v>
      </c>
      <c r="AO27" s="213">
        <v>-425711000</v>
      </c>
      <c r="AP27" s="213">
        <v>-55638000</v>
      </c>
      <c r="AQ27" s="213">
        <v>-1380858091</v>
      </c>
      <c r="AR27" s="213">
        <v>-983411013</v>
      </c>
      <c r="AS27" s="213">
        <v>673021317</v>
      </c>
      <c r="AT27" s="213">
        <v>680839147</v>
      </c>
      <c r="AU27" s="213">
        <v>249398000</v>
      </c>
      <c r="AV27" s="213">
        <v>428967000</v>
      </c>
      <c r="AW27" s="213">
        <v>1273825303</v>
      </c>
      <c r="AX27" s="213">
        <v>1288420629</v>
      </c>
      <c r="AY27" s="213">
        <v>253271000</v>
      </c>
      <c r="AZ27" s="213">
        <v>280722000</v>
      </c>
      <c r="BA27" s="213">
        <v>407273255</v>
      </c>
      <c r="BB27" s="213">
        <f>501415899-1</f>
        <v>501415898</v>
      </c>
      <c r="BC27" s="213">
        <v>269561582</v>
      </c>
      <c r="BD27" s="213">
        <v>380848731</v>
      </c>
      <c r="BE27" s="213">
        <v>-5585989109</v>
      </c>
      <c r="BF27" s="213">
        <v>-6228030065</v>
      </c>
      <c r="BG27" s="213">
        <v>-14597000000</v>
      </c>
      <c r="BH27" s="213">
        <v>-19118000000</v>
      </c>
      <c r="BI27" s="213">
        <v>-1656301000</v>
      </c>
      <c r="BJ27" s="213">
        <v>-1233179000</v>
      </c>
      <c r="BK27" s="213"/>
      <c r="BL27" s="213">
        <v>5044465</v>
      </c>
      <c r="BM27" s="213">
        <v>-144777021</v>
      </c>
      <c r="BN27" s="213">
        <v>-53453311</v>
      </c>
      <c r="BO27" s="213">
        <v>843940487</v>
      </c>
      <c r="BP27" s="213">
        <v>1213975276</v>
      </c>
      <c r="BQ27" s="213"/>
      <c r="BR27" s="213">
        <v>-90933</v>
      </c>
      <c r="BS27" s="213"/>
      <c r="BT27" s="213">
        <v>273509520</v>
      </c>
      <c r="BU27" s="209">
        <v>-10825576000</v>
      </c>
      <c r="BV27" s="209">
        <v>-7429406000</v>
      </c>
      <c r="BW27" s="209">
        <v>690126605</v>
      </c>
      <c r="BX27" s="209">
        <v>717779531</v>
      </c>
      <c r="BY27" s="209">
        <v>364470514</v>
      </c>
      <c r="BZ27" s="209">
        <v>445025181</v>
      </c>
      <c r="CA27" s="213">
        <v>-785460</v>
      </c>
      <c r="CB27" s="213">
        <v>-742973</v>
      </c>
      <c r="CC27" s="213">
        <v>1162588503</v>
      </c>
      <c r="CD27" s="213">
        <v>1425397444</v>
      </c>
      <c r="CE27" s="213">
        <v>-21615817000</v>
      </c>
      <c r="CF27" s="213">
        <v>-23783437000</v>
      </c>
      <c r="CG27" s="213">
        <v>34200000</v>
      </c>
      <c r="CH27" s="213">
        <v>39751000</v>
      </c>
      <c r="CI27" s="213">
        <v>-14597000000</v>
      </c>
      <c r="CJ27" s="213">
        <v>-19118000000</v>
      </c>
      <c r="CK27" s="213">
        <v>1030986362</v>
      </c>
      <c r="CL27" s="213">
        <v>1133709495</v>
      </c>
      <c r="CM27" s="213">
        <v>-12159563268</v>
      </c>
      <c r="CN27" s="213">
        <v>-16488814451</v>
      </c>
      <c r="CO27" s="213">
        <v>-13322356868</v>
      </c>
      <c r="CP27" s="213"/>
      <c r="CQ27" s="213"/>
      <c r="CR27" s="213">
        <v>54949445</v>
      </c>
      <c r="CS27" s="213">
        <v>59412399</v>
      </c>
      <c r="CT27" s="213">
        <v>26034172</v>
      </c>
      <c r="CU27" s="213">
        <v>298206286</v>
      </c>
      <c r="CV27" s="209">
        <f t="shared" si="28"/>
        <v>4230505879</v>
      </c>
      <c r="CW27" s="209">
        <f t="shared" si="29"/>
        <v>20114401376</v>
      </c>
    </row>
    <row r="28" spans="1:101" x14ac:dyDescent="0.2">
      <c r="A28" s="214" t="s">
        <v>56</v>
      </c>
      <c r="B28" s="213"/>
      <c r="C28" s="213"/>
      <c r="D28" s="213"/>
      <c r="E28" s="213"/>
      <c r="F28" s="213"/>
      <c r="G28" s="213"/>
      <c r="H28" s="213"/>
      <c r="I28" s="213"/>
      <c r="J28" s="213"/>
      <c r="K28" s="213"/>
      <c r="L28" s="220"/>
      <c r="M28" s="220"/>
      <c r="N28" s="213">
        <v>-662454393</v>
      </c>
      <c r="O28" s="213">
        <v>-604197167</v>
      </c>
      <c r="P28" s="213">
        <v>-2442812443</v>
      </c>
      <c r="Q28" s="213">
        <v>-2442812443</v>
      </c>
      <c r="R28" s="213"/>
      <c r="S28" s="213"/>
      <c r="T28" s="213">
        <v>1731669644</v>
      </c>
      <c r="U28" s="213">
        <v>1731669644</v>
      </c>
      <c r="V28" s="213">
        <v>1731669644</v>
      </c>
      <c r="W28" s="213"/>
      <c r="X28" s="213"/>
      <c r="Y28" s="213"/>
      <c r="Z28" s="213"/>
      <c r="AA28" s="213"/>
      <c r="AB28" s="213"/>
      <c r="AC28" s="213">
        <v>2717932470</v>
      </c>
      <c r="AD28" s="213">
        <v>1446094298</v>
      </c>
      <c r="AE28" s="213"/>
      <c r="AF28" s="213"/>
      <c r="AG28" s="213"/>
      <c r="AH28" s="213"/>
      <c r="AI28" s="213">
        <v>3055832000</v>
      </c>
      <c r="AJ28" s="213">
        <v>3040233000</v>
      </c>
      <c r="AK28" s="213"/>
      <c r="AL28" s="213"/>
      <c r="AM28" s="213"/>
      <c r="AN28" s="213"/>
      <c r="AO28" s="213"/>
      <c r="AP28" s="213"/>
      <c r="AQ28" s="213">
        <v>106014396</v>
      </c>
      <c r="AR28" s="213">
        <v>106014396</v>
      </c>
      <c r="AS28" s="213"/>
      <c r="AT28" s="213"/>
      <c r="AU28" s="213"/>
      <c r="AV28" s="213"/>
      <c r="AW28" s="213">
        <v>-58684000</v>
      </c>
      <c r="AX28" s="213">
        <v>-58684000</v>
      </c>
      <c r="AY28" s="213"/>
      <c r="AZ28" s="213"/>
      <c r="BA28" s="213"/>
      <c r="BB28" s="213"/>
      <c r="BC28" s="213">
        <v>-474527438</v>
      </c>
      <c r="BD28" s="213">
        <v>-474527438</v>
      </c>
      <c r="BE28" s="213"/>
      <c r="BF28" s="213"/>
      <c r="BG28" s="213"/>
      <c r="BH28" s="213"/>
      <c r="BI28" s="213"/>
      <c r="BJ28" s="213"/>
      <c r="BK28" s="213"/>
      <c r="BL28" s="213">
        <v>212500211</v>
      </c>
      <c r="BM28" s="213"/>
      <c r="BN28" s="213"/>
      <c r="BO28" s="213">
        <v>876126264</v>
      </c>
      <c r="BP28" s="213">
        <v>876126264</v>
      </c>
      <c r="BQ28" s="213"/>
      <c r="BR28" s="213"/>
      <c r="BS28" s="213"/>
      <c r="BT28" s="213"/>
      <c r="BU28" s="209"/>
      <c r="BV28" s="209"/>
      <c r="BW28" s="209"/>
      <c r="BX28" s="209"/>
      <c r="BY28" s="209">
        <v>136188146</v>
      </c>
      <c r="BZ28" s="209">
        <v>136188146</v>
      </c>
      <c r="CA28" s="213">
        <v>682808</v>
      </c>
      <c r="CB28" s="213">
        <v>682808</v>
      </c>
      <c r="CC28" s="213"/>
      <c r="CD28" s="213"/>
      <c r="CE28" s="213"/>
      <c r="CF28" s="213"/>
      <c r="CG28" s="213"/>
      <c r="CH28" s="213"/>
      <c r="CI28" s="213"/>
      <c r="CJ28" s="213"/>
      <c r="CK28" s="213">
        <v>377469142</v>
      </c>
      <c r="CL28" s="213">
        <v>377469142</v>
      </c>
      <c r="CM28" s="213">
        <v>18369571999</v>
      </c>
      <c r="CN28" s="213">
        <v>18369571999</v>
      </c>
      <c r="CO28" s="213"/>
      <c r="CP28" s="213"/>
      <c r="CQ28" s="213"/>
      <c r="CR28" s="213">
        <v>-34657290</v>
      </c>
      <c r="CS28" s="213">
        <v>-34657290</v>
      </c>
      <c r="CT28" s="213"/>
      <c r="CU28" s="213"/>
      <c r="CV28" s="209">
        <f t="shared" si="28"/>
        <v>23698351305</v>
      </c>
      <c r="CW28" s="209">
        <f t="shared" si="29"/>
        <v>22681671570</v>
      </c>
    </row>
    <row r="29" spans="1:101" x14ac:dyDescent="0.2">
      <c r="A29" s="214" t="s">
        <v>57</v>
      </c>
      <c r="B29" s="209"/>
      <c r="C29" s="209"/>
      <c r="D29" s="209"/>
      <c r="E29" s="209"/>
      <c r="F29" s="209"/>
      <c r="G29" s="209"/>
      <c r="H29" s="209"/>
      <c r="I29" s="209"/>
      <c r="J29" s="209"/>
      <c r="K29" s="209"/>
      <c r="L29" s="220"/>
      <c r="M29" s="220"/>
      <c r="N29" s="213"/>
      <c r="O29" s="209"/>
      <c r="P29" s="209"/>
      <c r="Q29" s="209"/>
      <c r="R29" s="209"/>
      <c r="S29" s="209"/>
      <c r="T29" s="209"/>
      <c r="U29" s="209"/>
      <c r="V29" s="209"/>
      <c r="W29" s="209"/>
      <c r="X29" s="209"/>
      <c r="Y29" s="209"/>
      <c r="Z29" s="209"/>
      <c r="AA29" s="209"/>
      <c r="AB29" s="209"/>
      <c r="AC29" s="209"/>
      <c r="AD29" s="209"/>
      <c r="AE29" s="209"/>
      <c r="AF29" s="209"/>
      <c r="AG29" s="209">
        <v>32000</v>
      </c>
      <c r="AH29" s="209">
        <v>32000</v>
      </c>
      <c r="AI29" s="209">
        <v>29371082000</v>
      </c>
      <c r="AJ29" s="209">
        <v>30714403000</v>
      </c>
      <c r="AK29" s="209"/>
      <c r="AL29" s="209"/>
      <c r="AM29" s="209"/>
      <c r="AN29" s="209"/>
      <c r="AO29" s="209"/>
      <c r="AP29" s="209"/>
      <c r="AQ29" s="209">
        <v>550379360</v>
      </c>
      <c r="AR29" s="209">
        <v>550379360</v>
      </c>
      <c r="AS29" s="209"/>
      <c r="AT29" s="209"/>
      <c r="AU29" s="209"/>
      <c r="AV29" s="209"/>
      <c r="AW29" s="209"/>
      <c r="AX29" s="209"/>
      <c r="AY29" s="209"/>
      <c r="AZ29" s="209"/>
      <c r="BA29" s="209"/>
      <c r="BB29" s="209"/>
      <c r="BC29" s="209"/>
      <c r="BD29" s="209">
        <v>407751687</v>
      </c>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c r="CR29" s="209"/>
      <c r="CS29" s="209"/>
      <c r="CT29" s="209"/>
      <c r="CU29" s="209"/>
      <c r="CV29" s="209">
        <f t="shared" si="28"/>
        <v>29921493360</v>
      </c>
      <c r="CW29" s="209">
        <f t="shared" si="29"/>
        <v>31672566047</v>
      </c>
    </row>
    <row r="30" spans="1:101" x14ac:dyDescent="0.2">
      <c r="A30" s="214" t="s">
        <v>96</v>
      </c>
      <c r="B30" s="213"/>
      <c r="C30" s="213"/>
      <c r="D30" s="213">
        <v>1492000000</v>
      </c>
      <c r="E30" s="213">
        <v>1492000000</v>
      </c>
      <c r="F30" s="213"/>
      <c r="G30" s="213"/>
      <c r="H30" s="213"/>
      <c r="I30" s="213"/>
      <c r="J30" s="213"/>
      <c r="K30" s="213"/>
      <c r="L30" s="220"/>
      <c r="M30" s="220"/>
      <c r="N30" s="213"/>
      <c r="O30" s="213"/>
      <c r="P30" s="213"/>
      <c r="Q30" s="213"/>
      <c r="R30" s="213"/>
      <c r="S30" s="213"/>
      <c r="T30" s="213"/>
      <c r="U30" s="213"/>
      <c r="V30" s="213"/>
      <c r="W30" s="213"/>
      <c r="X30" s="213"/>
      <c r="Y30" s="213">
        <v>2955540741</v>
      </c>
      <c r="Z30" s="213">
        <v>2955540741</v>
      </c>
      <c r="AA30" s="213"/>
      <c r="AB30" s="213"/>
      <c r="AC30" s="213"/>
      <c r="AD30" s="213"/>
      <c r="AE30" s="213"/>
      <c r="AF30" s="213"/>
      <c r="AG30" s="213"/>
      <c r="AH30" s="213"/>
      <c r="AI30" s="213"/>
      <c r="AJ30" s="213"/>
      <c r="AK30" s="213">
        <v>3733389393</v>
      </c>
      <c r="AL30" s="213">
        <v>3635915350</v>
      </c>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09"/>
      <c r="BV30" s="209"/>
      <c r="BW30" s="209"/>
      <c r="BX30" s="209"/>
      <c r="BY30" s="209"/>
      <c r="BZ30" s="209"/>
      <c r="CA30" s="213"/>
      <c r="CB30" s="213"/>
      <c r="CC30" s="213"/>
      <c r="CD30" s="213"/>
      <c r="CE30" s="213"/>
      <c r="CF30" s="213"/>
      <c r="CG30" s="213"/>
      <c r="CH30" s="213"/>
      <c r="CI30" s="213"/>
      <c r="CJ30" s="213"/>
      <c r="CK30" s="213"/>
      <c r="CL30" s="213"/>
      <c r="CM30" s="213"/>
      <c r="CN30" s="213"/>
      <c r="CO30" s="213"/>
      <c r="CP30" s="213"/>
      <c r="CQ30" s="213"/>
      <c r="CR30" s="213"/>
      <c r="CS30" s="213"/>
      <c r="CT30" s="213"/>
      <c r="CU30" s="213"/>
      <c r="CV30" s="209">
        <f t="shared" si="28"/>
        <v>8180930134</v>
      </c>
      <c r="CW30" s="209">
        <f t="shared" si="29"/>
        <v>8083456091</v>
      </c>
    </row>
    <row r="31" spans="1:101" x14ac:dyDescent="0.2">
      <c r="A31" s="214" t="s">
        <v>58</v>
      </c>
      <c r="B31" s="209"/>
      <c r="C31" s="209"/>
      <c r="D31" s="209"/>
      <c r="E31" s="209"/>
      <c r="F31" s="209"/>
      <c r="G31" s="209"/>
      <c r="H31" s="209"/>
      <c r="I31" s="209"/>
      <c r="J31" s="209"/>
      <c r="K31" s="209"/>
      <c r="L31" s="220"/>
      <c r="M31" s="220"/>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v>4169000000</v>
      </c>
      <c r="BH31" s="209">
        <v>-101000000</v>
      </c>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v>44416120000</v>
      </c>
      <c r="CF31" s="209">
        <v>27126900000</v>
      </c>
      <c r="CG31" s="209"/>
      <c r="CH31" s="209"/>
      <c r="CI31" s="209">
        <v>4169000000</v>
      </c>
      <c r="CJ31" s="209">
        <v>-101000000</v>
      </c>
      <c r="CK31" s="209"/>
      <c r="CL31" s="209"/>
      <c r="CM31" s="209"/>
      <c r="CN31" s="209"/>
      <c r="CO31" s="209"/>
      <c r="CP31" s="209"/>
      <c r="CQ31" s="209"/>
      <c r="CR31" s="209"/>
      <c r="CS31" s="209"/>
      <c r="CT31" s="209"/>
      <c r="CU31" s="209"/>
      <c r="CV31" s="209">
        <f t="shared" si="28"/>
        <v>52754120000</v>
      </c>
      <c r="CW31" s="209">
        <f t="shared" si="29"/>
        <v>26924900000</v>
      </c>
    </row>
    <row r="32" spans="1:101" s="224" customFormat="1" x14ac:dyDescent="0.2">
      <c r="A32" s="223" t="s">
        <v>59</v>
      </c>
      <c r="B32" s="210">
        <f t="shared" ref="B32:K32" si="30">SUM(B18:B31)</f>
        <v>1057511612</v>
      </c>
      <c r="C32" s="210">
        <f t="shared" si="30"/>
        <v>1285908673</v>
      </c>
      <c r="D32" s="210">
        <f t="shared" si="30"/>
        <v>8866019185</v>
      </c>
      <c r="E32" s="210">
        <f t="shared" si="30"/>
        <v>7693527043</v>
      </c>
      <c r="F32" s="210">
        <f t="shared" si="30"/>
        <v>5806693652</v>
      </c>
      <c r="G32" s="210">
        <f t="shared" si="30"/>
        <v>6588509070</v>
      </c>
      <c r="H32" s="210">
        <f t="shared" si="30"/>
        <v>1014357487</v>
      </c>
      <c r="I32" s="210">
        <f t="shared" si="30"/>
        <v>1065898220</v>
      </c>
      <c r="J32" s="210">
        <f t="shared" si="30"/>
        <v>3274616928</v>
      </c>
      <c r="K32" s="210">
        <f t="shared" si="30"/>
        <v>3299378146</v>
      </c>
      <c r="L32" s="210">
        <v>6309761</v>
      </c>
      <c r="M32" s="210">
        <f>+SUM(M17:M31)</f>
        <v>8542941</v>
      </c>
      <c r="N32" s="210">
        <f t="shared" ref="N32:AT32" si="31">SUM(N18:N31)</f>
        <v>5728449197</v>
      </c>
      <c r="O32" s="210">
        <f t="shared" si="31"/>
        <v>6207584976</v>
      </c>
      <c r="P32" s="210">
        <f t="shared" si="31"/>
        <v>90087366554</v>
      </c>
      <c r="Q32" s="210">
        <f t="shared" si="31"/>
        <v>103502898280</v>
      </c>
      <c r="R32" s="210">
        <f t="shared" si="31"/>
        <v>1014357487</v>
      </c>
      <c r="S32" s="210">
        <f t="shared" si="31"/>
        <v>1065898220</v>
      </c>
      <c r="T32" s="210">
        <f t="shared" si="31"/>
        <v>8718696937</v>
      </c>
      <c r="U32" s="210">
        <f t="shared" si="31"/>
        <v>8867576660</v>
      </c>
      <c r="V32" s="210">
        <f t="shared" ref="V32" si="32">SUM(V18:V31)</f>
        <v>10081662952</v>
      </c>
      <c r="W32" s="210">
        <f t="shared" si="31"/>
        <v>632809000</v>
      </c>
      <c r="X32" s="210">
        <f t="shared" si="31"/>
        <v>729018000</v>
      </c>
      <c r="Y32" s="210">
        <f t="shared" si="31"/>
        <v>8521519504</v>
      </c>
      <c r="Z32" s="210">
        <f t="shared" si="31"/>
        <v>9472100420</v>
      </c>
      <c r="AA32" s="210">
        <f t="shared" si="31"/>
        <v>950000000</v>
      </c>
      <c r="AB32" s="210">
        <f t="shared" si="31"/>
        <v>950000000</v>
      </c>
      <c r="AC32" s="210">
        <f t="shared" si="31"/>
        <v>7914336068</v>
      </c>
      <c r="AD32" s="210">
        <f t="shared" si="31"/>
        <v>7125458445</v>
      </c>
      <c r="AE32" s="210">
        <f t="shared" si="31"/>
        <v>545934680</v>
      </c>
      <c r="AF32" s="210">
        <f t="shared" si="31"/>
        <v>550092306</v>
      </c>
      <c r="AG32" s="210">
        <f t="shared" si="31"/>
        <v>1318347431</v>
      </c>
      <c r="AH32" s="210">
        <f t="shared" si="31"/>
        <v>1808876151</v>
      </c>
      <c r="AI32" s="210">
        <f t="shared" si="31"/>
        <v>38540599000</v>
      </c>
      <c r="AJ32" s="210">
        <f t="shared" si="31"/>
        <v>38630791000</v>
      </c>
      <c r="AK32" s="210">
        <f t="shared" si="31"/>
        <v>5556873844</v>
      </c>
      <c r="AL32" s="210">
        <f t="shared" si="31"/>
        <v>6864677146</v>
      </c>
      <c r="AM32" s="210">
        <f t="shared" si="31"/>
        <v>634068000</v>
      </c>
      <c r="AN32" s="210">
        <f t="shared" si="31"/>
        <v>686316000</v>
      </c>
      <c r="AO32" s="210">
        <f t="shared" si="31"/>
        <v>207247000</v>
      </c>
      <c r="AP32" s="210">
        <f t="shared" si="31"/>
        <v>-954689000</v>
      </c>
      <c r="AQ32" s="210">
        <f t="shared" si="31"/>
        <v>4031417559</v>
      </c>
      <c r="AR32" s="210">
        <f t="shared" si="31"/>
        <v>2209534722</v>
      </c>
      <c r="AS32" s="210">
        <f t="shared" si="31"/>
        <v>1562626264</v>
      </c>
      <c r="AT32" s="210">
        <f t="shared" si="31"/>
        <v>577913443</v>
      </c>
      <c r="AU32" s="210">
        <f t="shared" ref="AU32:BN32" si="33">SUM(AU18:AU31)</f>
        <v>1628967000</v>
      </c>
      <c r="AV32" s="210">
        <f t="shared" si="33"/>
        <v>1810065532</v>
      </c>
      <c r="AW32" s="210">
        <f t="shared" si="33"/>
        <v>2871361828</v>
      </c>
      <c r="AX32" s="210">
        <f t="shared" si="33"/>
        <v>3007345034</v>
      </c>
      <c r="AY32" s="210">
        <f t="shared" si="33"/>
        <v>1251100000</v>
      </c>
      <c r="AZ32" s="210">
        <f t="shared" si="33"/>
        <v>1277409000</v>
      </c>
      <c r="BA32" s="210">
        <f t="shared" si="33"/>
        <v>1049678132</v>
      </c>
      <c r="BB32" s="210">
        <f t="shared" si="33"/>
        <v>1220239447</v>
      </c>
      <c r="BC32" s="210">
        <f t="shared" si="33"/>
        <v>2346848787</v>
      </c>
      <c r="BD32" s="210">
        <f t="shared" si="33"/>
        <v>3532161088</v>
      </c>
      <c r="BE32" s="210">
        <f t="shared" si="33"/>
        <v>341969935</v>
      </c>
      <c r="BF32" s="210">
        <f t="shared" si="33"/>
        <v>-181329175</v>
      </c>
      <c r="BG32" s="210">
        <f t="shared" si="33"/>
        <v>2873000000</v>
      </c>
      <c r="BH32" s="210">
        <f t="shared" si="33"/>
        <v>2298000000</v>
      </c>
      <c r="BI32" s="210">
        <f t="shared" si="33"/>
        <v>1779980000</v>
      </c>
      <c r="BJ32" s="210">
        <f t="shared" si="33"/>
        <v>1758800000</v>
      </c>
      <c r="BK32" s="210"/>
      <c r="BL32" s="210">
        <f t="shared" ref="BL32" si="34">SUM(BL18:BL31)</f>
        <v>431996973</v>
      </c>
      <c r="BM32" s="210">
        <f t="shared" si="33"/>
        <v>1446546689</v>
      </c>
      <c r="BN32" s="210">
        <f t="shared" si="33"/>
        <v>1735285923</v>
      </c>
      <c r="BO32" s="210">
        <f t="shared" ref="BO32:BP32" si="35">SUM(BO18:BO31)</f>
        <v>2966793988</v>
      </c>
      <c r="BP32" s="210">
        <f t="shared" si="35"/>
        <v>3526365207</v>
      </c>
      <c r="BQ32" s="210">
        <f>SUM(BQ18:BQ31)</f>
        <v>0</v>
      </c>
      <c r="BR32" s="210">
        <f>SUM(BR18:BR31)</f>
        <v>419486</v>
      </c>
      <c r="BS32" s="210">
        <f>SUM(BS18:BS31)</f>
        <v>0</v>
      </c>
      <c r="BT32" s="210">
        <f>SUM(BT18:BT31)</f>
        <v>289409504</v>
      </c>
      <c r="BU32" s="210">
        <f t="shared" ref="BU32:BZ32" si="36">SUM(BU17:BU31)</f>
        <v>1146758000</v>
      </c>
      <c r="BV32" s="210">
        <f t="shared" si="36"/>
        <v>4542928000</v>
      </c>
      <c r="BW32" s="210">
        <f t="shared" si="36"/>
        <v>2552799078</v>
      </c>
      <c r="BX32" s="210">
        <f t="shared" si="36"/>
        <v>2563777410</v>
      </c>
      <c r="BY32" s="210">
        <f t="shared" si="36"/>
        <v>880136724</v>
      </c>
      <c r="BZ32" s="210">
        <f t="shared" si="36"/>
        <v>993310587</v>
      </c>
      <c r="CA32" s="210">
        <f t="shared" ref="CA32:CS32" si="37">SUM(CA18:CA31)</f>
        <v>785499</v>
      </c>
      <c r="CB32" s="210">
        <f t="shared" si="37"/>
        <v>758182</v>
      </c>
      <c r="CC32" s="210">
        <f t="shared" si="37"/>
        <v>2594338558</v>
      </c>
      <c r="CD32" s="210">
        <f t="shared" si="37"/>
        <v>2963849821</v>
      </c>
      <c r="CE32" s="210">
        <f t="shared" si="37"/>
        <v>37123844000</v>
      </c>
      <c r="CF32" s="210">
        <f t="shared" si="37"/>
        <v>27211628000</v>
      </c>
      <c r="CG32" s="210">
        <f t="shared" si="37"/>
        <v>105275000</v>
      </c>
      <c r="CH32" s="210">
        <f t="shared" si="37"/>
        <v>111006000</v>
      </c>
      <c r="CI32" s="210">
        <f t="shared" si="37"/>
        <v>2873000000</v>
      </c>
      <c r="CJ32" s="210">
        <f t="shared" si="37"/>
        <v>2298000000</v>
      </c>
      <c r="CK32" s="210">
        <f t="shared" si="37"/>
        <v>2022344759</v>
      </c>
      <c r="CL32" s="210">
        <f t="shared" si="37"/>
        <v>2298255106</v>
      </c>
      <c r="CM32" s="210">
        <f t="shared" si="37"/>
        <v>4780554291</v>
      </c>
      <c r="CN32" s="210">
        <f t="shared" si="37"/>
        <v>13298840295</v>
      </c>
      <c r="CO32" s="210">
        <f t="shared" ref="CO32" si="38">SUM(CO18:CO31)</f>
        <v>13044193875</v>
      </c>
      <c r="CP32" s="210">
        <f t="shared" si="37"/>
        <v>2543168328</v>
      </c>
      <c r="CQ32" s="210">
        <f t="shared" si="37"/>
        <v>2546430112</v>
      </c>
      <c r="CR32" s="210">
        <f t="shared" si="37"/>
        <v>1714127161</v>
      </c>
      <c r="CS32" s="210">
        <f t="shared" si="37"/>
        <v>5634347111</v>
      </c>
      <c r="CT32" s="210">
        <f t="shared" ref="CT32:CU32" si="39">SUM(CT18:CT31)</f>
        <v>1703076469</v>
      </c>
      <c r="CU32" s="210">
        <f t="shared" si="39"/>
        <v>1846143361</v>
      </c>
      <c r="CV32" s="210">
        <f t="shared" ref="CV32:CW32" si="40">SUM(CV18:CV31)</f>
        <v>272883534907</v>
      </c>
      <c r="CW32" s="210">
        <f t="shared" si="40"/>
        <v>293405109505</v>
      </c>
    </row>
    <row r="33" spans="1:101" s="224" customFormat="1" x14ac:dyDescent="0.2">
      <c r="A33" s="223" t="s">
        <v>60</v>
      </c>
      <c r="B33" s="210">
        <f t="shared" ref="B33:K33" si="41">+B16+B32</f>
        <v>1339783575</v>
      </c>
      <c r="C33" s="210">
        <f t="shared" si="41"/>
        <v>1620099049</v>
      </c>
      <c r="D33" s="210">
        <f t="shared" si="41"/>
        <v>23609598369</v>
      </c>
      <c r="E33" s="210">
        <f t="shared" si="41"/>
        <v>13033574114</v>
      </c>
      <c r="F33" s="210">
        <f t="shared" si="41"/>
        <v>8917248300</v>
      </c>
      <c r="G33" s="210">
        <f t="shared" si="41"/>
        <v>16312098755</v>
      </c>
      <c r="H33" s="210">
        <f t="shared" si="41"/>
        <v>1822523686</v>
      </c>
      <c r="I33" s="210">
        <f t="shared" si="41"/>
        <v>1761403340</v>
      </c>
      <c r="J33" s="210">
        <f t="shared" si="41"/>
        <v>4050474878</v>
      </c>
      <c r="K33" s="210">
        <f t="shared" si="41"/>
        <v>4455843609</v>
      </c>
      <c r="L33" s="210">
        <v>27183509</v>
      </c>
      <c r="M33" s="210">
        <f>+M32+M16</f>
        <v>28797159</v>
      </c>
      <c r="N33" s="210">
        <f t="shared" ref="N33:AT33" si="42">+N16+N32</f>
        <v>8691747124</v>
      </c>
      <c r="O33" s="210">
        <f t="shared" si="42"/>
        <v>8013095560</v>
      </c>
      <c r="P33" s="210">
        <f t="shared" si="42"/>
        <v>145037060722</v>
      </c>
      <c r="Q33" s="210">
        <f t="shared" si="42"/>
        <v>225666264596</v>
      </c>
      <c r="R33" s="210">
        <f t="shared" si="42"/>
        <v>1822523686</v>
      </c>
      <c r="S33" s="210">
        <f t="shared" si="42"/>
        <v>1761403340</v>
      </c>
      <c r="T33" s="210">
        <f t="shared" si="42"/>
        <v>10956484527</v>
      </c>
      <c r="U33" s="210">
        <f t="shared" si="42"/>
        <v>11075353154</v>
      </c>
      <c r="V33" s="210">
        <f t="shared" ref="V33" si="43">+V16+V32</f>
        <v>12382466367</v>
      </c>
      <c r="W33" s="210">
        <f t="shared" si="42"/>
        <v>899956000</v>
      </c>
      <c r="X33" s="210">
        <f t="shared" si="42"/>
        <v>797369000</v>
      </c>
      <c r="Y33" s="210">
        <f t="shared" si="42"/>
        <v>11625148005</v>
      </c>
      <c r="Z33" s="210">
        <f t="shared" si="42"/>
        <v>19467506727</v>
      </c>
      <c r="AA33" s="210">
        <f t="shared" si="42"/>
        <v>950000000</v>
      </c>
      <c r="AB33" s="210">
        <f t="shared" si="42"/>
        <v>950000000</v>
      </c>
      <c r="AC33" s="210">
        <f t="shared" si="42"/>
        <v>10117767456</v>
      </c>
      <c r="AD33" s="210">
        <f t="shared" si="42"/>
        <v>9441519038</v>
      </c>
      <c r="AE33" s="210">
        <f t="shared" si="42"/>
        <v>919330098</v>
      </c>
      <c r="AF33" s="210">
        <f t="shared" si="42"/>
        <v>890724808</v>
      </c>
      <c r="AG33" s="210">
        <f t="shared" si="42"/>
        <v>2122103360</v>
      </c>
      <c r="AH33" s="210">
        <f t="shared" si="42"/>
        <v>2355842962</v>
      </c>
      <c r="AI33" s="210">
        <f t="shared" si="42"/>
        <v>91328414000</v>
      </c>
      <c r="AJ33" s="210">
        <f t="shared" si="42"/>
        <v>85652726000</v>
      </c>
      <c r="AK33" s="210">
        <f t="shared" si="42"/>
        <v>13727917083</v>
      </c>
      <c r="AL33" s="210">
        <f t="shared" si="42"/>
        <v>16278344836</v>
      </c>
      <c r="AM33" s="210">
        <f t="shared" si="42"/>
        <v>1047279000</v>
      </c>
      <c r="AN33" s="210">
        <f t="shared" si="42"/>
        <v>1043759000</v>
      </c>
      <c r="AO33" s="210">
        <f t="shared" si="42"/>
        <v>1125432000</v>
      </c>
      <c r="AP33" s="210">
        <f t="shared" si="42"/>
        <v>2213764000</v>
      </c>
      <c r="AQ33" s="210">
        <f t="shared" si="42"/>
        <v>6683875925</v>
      </c>
      <c r="AR33" s="210">
        <f t="shared" si="42"/>
        <v>5193687227</v>
      </c>
      <c r="AS33" s="210">
        <f t="shared" si="42"/>
        <v>2218182264</v>
      </c>
      <c r="AT33" s="210">
        <f t="shared" si="42"/>
        <v>3497581310</v>
      </c>
      <c r="AU33" s="210">
        <f t="shared" ref="AU33:CW33" si="44">+AU16+AU32</f>
        <v>1768472000</v>
      </c>
      <c r="AV33" s="210">
        <f t="shared" si="44"/>
        <v>2535672330</v>
      </c>
      <c r="AW33" s="210">
        <f t="shared" si="44"/>
        <v>4101776298</v>
      </c>
      <c r="AX33" s="210">
        <f t="shared" si="44"/>
        <v>3740871583</v>
      </c>
      <c r="AY33" s="210">
        <f t="shared" si="44"/>
        <v>1665133000</v>
      </c>
      <c r="AZ33" s="210">
        <f t="shared" si="44"/>
        <v>1643868000</v>
      </c>
      <c r="BA33" s="210">
        <f t="shared" si="44"/>
        <v>4533127767</v>
      </c>
      <c r="BB33" s="210">
        <f t="shared" si="44"/>
        <v>4374837378</v>
      </c>
      <c r="BC33" s="210">
        <f t="shared" si="44"/>
        <v>4441447431</v>
      </c>
      <c r="BD33" s="210">
        <f t="shared" si="44"/>
        <v>5944412926</v>
      </c>
      <c r="BE33" s="210">
        <f t="shared" si="44"/>
        <v>4246431778</v>
      </c>
      <c r="BF33" s="210">
        <f t="shared" si="44"/>
        <v>4236655537</v>
      </c>
      <c r="BG33" s="210">
        <f t="shared" si="44"/>
        <v>172607000000</v>
      </c>
      <c r="BH33" s="210">
        <f t="shared" si="44"/>
        <v>131896000000</v>
      </c>
      <c r="BI33" s="210">
        <f t="shared" si="44"/>
        <v>1928190000</v>
      </c>
      <c r="BJ33" s="210">
        <f t="shared" si="44"/>
        <v>2333591000</v>
      </c>
      <c r="BK33" s="210"/>
      <c r="BL33" s="210">
        <f t="shared" ref="BL33" si="45">+BL16+BL32</f>
        <v>453348049</v>
      </c>
      <c r="BM33" s="210">
        <f t="shared" si="44"/>
        <v>1922332865</v>
      </c>
      <c r="BN33" s="210">
        <f t="shared" si="44"/>
        <v>3286678321</v>
      </c>
      <c r="BO33" s="210">
        <f t="shared" ref="BO33:BP33" si="46">+BO16+BO32</f>
        <v>9362540137</v>
      </c>
      <c r="BP33" s="210">
        <f t="shared" si="46"/>
        <v>8127441085</v>
      </c>
      <c r="BQ33" s="210">
        <f t="shared" ref="BQ33:BV33" si="47">+BQ16+BQ32</f>
        <v>0</v>
      </c>
      <c r="BR33" s="210">
        <f t="shared" si="47"/>
        <v>778836</v>
      </c>
      <c r="BS33" s="210">
        <f t="shared" si="47"/>
        <v>0</v>
      </c>
      <c r="BT33" s="210">
        <f t="shared" si="47"/>
        <v>296928726</v>
      </c>
      <c r="BU33" s="210">
        <f t="shared" si="47"/>
        <v>33028680000</v>
      </c>
      <c r="BV33" s="210">
        <f t="shared" si="47"/>
        <v>30859521000</v>
      </c>
      <c r="BW33" s="210">
        <f t="shared" ref="BW33" si="48">+BW16+BW32</f>
        <v>3282585086</v>
      </c>
      <c r="BX33" s="210">
        <f t="shared" ref="BX33" si="49">+BX16+BX32</f>
        <v>2941819115</v>
      </c>
      <c r="BY33" s="210">
        <f t="shared" ref="BY33" si="50">+BY16+BY32</f>
        <v>2532939664</v>
      </c>
      <c r="BZ33" s="210">
        <f t="shared" ref="BZ33" si="51">+BZ16+BZ32</f>
        <v>2684521295</v>
      </c>
      <c r="CA33" s="210">
        <f t="shared" ref="CA33:CS33" si="52">+CA16+CA32</f>
        <v>1974973</v>
      </c>
      <c r="CB33" s="210">
        <f t="shared" si="52"/>
        <v>1767496</v>
      </c>
      <c r="CC33" s="210">
        <f t="shared" si="52"/>
        <v>3421587062</v>
      </c>
      <c r="CD33" s="210">
        <f t="shared" si="52"/>
        <v>3612967741</v>
      </c>
      <c r="CE33" s="210">
        <f t="shared" si="52"/>
        <v>116828091000</v>
      </c>
      <c r="CF33" s="210">
        <f t="shared" si="52"/>
        <v>101980854000</v>
      </c>
      <c r="CG33" s="210">
        <f t="shared" si="52"/>
        <v>112876000</v>
      </c>
      <c r="CH33" s="210">
        <f t="shared" si="52"/>
        <v>117063000</v>
      </c>
      <c r="CI33" s="210">
        <f t="shared" si="52"/>
        <v>172607000000</v>
      </c>
      <c r="CJ33" s="210">
        <f t="shared" si="52"/>
        <v>131896000000</v>
      </c>
      <c r="CK33" s="210">
        <f t="shared" si="52"/>
        <v>2570379181</v>
      </c>
      <c r="CL33" s="210">
        <f t="shared" si="52"/>
        <v>4553751199</v>
      </c>
      <c r="CM33" s="210">
        <f t="shared" si="52"/>
        <v>23463487845</v>
      </c>
      <c r="CN33" s="210">
        <f t="shared" si="52"/>
        <v>23642592044</v>
      </c>
      <c r="CO33" s="210">
        <f t="shared" ref="CO33" si="53">+CO16+CO32</f>
        <v>23277654286</v>
      </c>
      <c r="CP33" s="210">
        <f t="shared" si="52"/>
        <v>5091526555</v>
      </c>
      <c r="CQ33" s="210">
        <f t="shared" si="52"/>
        <v>5479589219</v>
      </c>
      <c r="CR33" s="210">
        <f t="shared" si="52"/>
        <v>2628105798</v>
      </c>
      <c r="CS33" s="210">
        <f t="shared" si="52"/>
        <v>9323354964</v>
      </c>
      <c r="CT33" s="210">
        <f t="shared" ref="CT33:CU33" si="54">+CT16+CT32</f>
        <v>1866324508</v>
      </c>
      <c r="CU33" s="210">
        <f t="shared" si="54"/>
        <v>1974152921</v>
      </c>
      <c r="CV33" s="210">
        <f t="shared" si="44"/>
        <v>921185718007</v>
      </c>
      <c r="CW33" s="210">
        <f t="shared" si="44"/>
        <v>917475642428</v>
      </c>
    </row>
    <row r="34" spans="1:101" s="224" customFormat="1" x14ac:dyDescent="0.2">
      <c r="A34" s="232"/>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row>
    <row r="35" spans="1:101" s="224" customFormat="1" ht="15" x14ac:dyDescent="0.2">
      <c r="A35" s="306" t="s">
        <v>242</v>
      </c>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1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row>
    <row r="36" spans="1:101" s="224" customFormat="1" x14ac:dyDescent="0.2">
      <c r="A36" s="216"/>
      <c r="B36" s="233"/>
      <c r="C36" s="233"/>
      <c r="D36" s="233"/>
      <c r="E36" s="233"/>
      <c r="F36" s="233"/>
      <c r="G36" s="233"/>
      <c r="H36" s="233"/>
      <c r="I36" s="233"/>
      <c r="J36" s="233"/>
      <c r="K36" s="233"/>
      <c r="L36" s="233"/>
      <c r="M36" s="233"/>
      <c r="N36" s="233"/>
      <c r="O36" s="233"/>
      <c r="P36" s="233"/>
      <c r="Q36" s="233"/>
      <c r="R36" s="233"/>
      <c r="S36" s="233"/>
      <c r="T36" s="233"/>
      <c r="U36" s="233"/>
      <c r="V36" s="233"/>
      <c r="W36" s="233"/>
      <c r="X36" s="233"/>
      <c r="Y36" s="21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row>
    <row r="37" spans="1:101" x14ac:dyDescent="0.2">
      <c r="A37" s="226" t="s">
        <v>61</v>
      </c>
      <c r="B37" s="213">
        <v>4513531604</v>
      </c>
      <c r="C37" s="213">
        <v>5995529756</v>
      </c>
      <c r="D37" s="213">
        <v>21271421598</v>
      </c>
      <c r="E37" s="213">
        <v>11163016127</v>
      </c>
      <c r="F37" s="213">
        <v>5732239949</v>
      </c>
      <c r="G37" s="213">
        <v>11406447687</v>
      </c>
      <c r="H37" s="213">
        <v>7256022330</v>
      </c>
      <c r="I37" s="213">
        <v>5330924085</v>
      </c>
      <c r="J37" s="213">
        <v>839872099</v>
      </c>
      <c r="K37" s="213">
        <v>599034367</v>
      </c>
      <c r="L37" s="220">
        <v>100523034</v>
      </c>
      <c r="M37" s="220">
        <v>104752373</v>
      </c>
      <c r="N37" s="213">
        <v>5172220725</v>
      </c>
      <c r="O37" s="213">
        <v>5263752114</v>
      </c>
      <c r="P37" s="213">
        <v>225785970784</v>
      </c>
      <c r="Q37" s="213">
        <v>242426298151</v>
      </c>
      <c r="R37" s="213">
        <v>7256022330</v>
      </c>
      <c r="S37" s="213">
        <v>5330924085</v>
      </c>
      <c r="T37" s="213">
        <v>6479549398</v>
      </c>
      <c r="U37" s="213">
        <v>5719605576</v>
      </c>
      <c r="V37" s="213">
        <v>5462880067</v>
      </c>
      <c r="W37" s="213">
        <v>652202000</v>
      </c>
      <c r="X37" s="213">
        <v>786033000</v>
      </c>
      <c r="Y37" s="213">
        <v>9070851961</v>
      </c>
      <c r="Z37" s="213">
        <v>20195114617</v>
      </c>
      <c r="AA37" s="213">
        <v>0</v>
      </c>
      <c r="AB37" s="213">
        <v>0</v>
      </c>
      <c r="AC37" s="213">
        <v>9835707301</v>
      </c>
      <c r="AD37" s="213">
        <v>6822010850</v>
      </c>
      <c r="AE37" s="213">
        <v>1724303994</v>
      </c>
      <c r="AF37" s="213">
        <v>1572020640</v>
      </c>
      <c r="AG37" s="213">
        <v>8328595966</v>
      </c>
      <c r="AH37" s="213">
        <v>11052204079</v>
      </c>
      <c r="AI37" s="213">
        <v>57036168000</v>
      </c>
      <c r="AJ37" s="213">
        <v>67495148000</v>
      </c>
      <c r="AK37" s="213">
        <v>19489678482</v>
      </c>
      <c r="AL37" s="213">
        <v>21651129442</v>
      </c>
      <c r="AM37" s="213">
        <v>768299000</v>
      </c>
      <c r="AN37" s="213">
        <v>588759000</v>
      </c>
      <c r="AO37" s="213">
        <v>5548277000</v>
      </c>
      <c r="AP37" s="213">
        <v>8288256000</v>
      </c>
      <c r="AQ37" s="213">
        <f>38139943569-27132858000</f>
        <v>11007085569</v>
      </c>
      <c r="AR37" s="213">
        <f>6354422541-2312028104</f>
        <v>4042394437</v>
      </c>
      <c r="AS37" s="213">
        <v>1441855000</v>
      </c>
      <c r="AT37" s="213">
        <v>185754200</v>
      </c>
      <c r="AU37" s="213">
        <v>4469839000</v>
      </c>
      <c r="AV37" s="213">
        <v>3568633058</v>
      </c>
      <c r="AW37" s="213">
        <v>2962836988</v>
      </c>
      <c r="AX37" s="213">
        <v>2816374045</v>
      </c>
      <c r="AY37" s="213">
        <v>479743000</v>
      </c>
      <c r="AZ37" s="213">
        <v>441495000</v>
      </c>
      <c r="BA37" s="213">
        <v>2930021701</v>
      </c>
      <c r="BB37" s="213">
        <v>4557104221</v>
      </c>
      <c r="BC37" s="213">
        <v>6722187787</v>
      </c>
      <c r="BD37" s="213">
        <v>10073886722</v>
      </c>
      <c r="BE37" s="213"/>
      <c r="BF37" s="213"/>
      <c r="BG37" s="213">
        <v>56261000000</v>
      </c>
      <c r="BH37" s="213">
        <v>63319000000</v>
      </c>
      <c r="BI37" s="213">
        <v>2954877000</v>
      </c>
      <c r="BJ37" s="213">
        <v>3898663000</v>
      </c>
      <c r="BK37" s="213"/>
      <c r="BL37" s="213">
        <v>451950000</v>
      </c>
      <c r="BM37" s="213">
        <v>492697035018</v>
      </c>
      <c r="BN37" s="213">
        <v>8633546658</v>
      </c>
      <c r="BO37" s="213">
        <v>7938785710</v>
      </c>
      <c r="BP37" s="213">
        <v>12219959220</v>
      </c>
      <c r="BQ37" s="213"/>
      <c r="BR37" s="213">
        <v>747061</v>
      </c>
      <c r="BS37" s="213"/>
      <c r="BT37" s="213">
        <v>66780000</v>
      </c>
      <c r="BU37" s="235">
        <v>48772381000</v>
      </c>
      <c r="BV37" s="235">
        <v>57729604000</v>
      </c>
      <c r="BW37" s="235">
        <v>1041783924</v>
      </c>
      <c r="BX37" s="235">
        <v>1257337156</v>
      </c>
      <c r="BY37" s="235">
        <v>4280954855</v>
      </c>
      <c r="BZ37" s="235">
        <v>5245148966</v>
      </c>
      <c r="CA37" s="213">
        <v>1182611</v>
      </c>
      <c r="CB37" s="213">
        <v>1439701</v>
      </c>
      <c r="CC37" s="213">
        <v>5689005105</v>
      </c>
      <c r="CD37" s="213">
        <v>6783937000</v>
      </c>
      <c r="CE37" s="213">
        <v>38876689000</v>
      </c>
      <c r="CF37" s="213">
        <v>32520257000</v>
      </c>
      <c r="CG37" s="213">
        <v>93282000</v>
      </c>
      <c r="CH37" s="213">
        <v>46601000</v>
      </c>
      <c r="CI37" s="213">
        <v>56261000000</v>
      </c>
      <c r="CJ37" s="213">
        <v>63319000000</v>
      </c>
      <c r="CK37" s="213">
        <v>2483523123</v>
      </c>
      <c r="CL37" s="213">
        <v>4507521441</v>
      </c>
      <c r="CM37" s="213">
        <v>10458935867</v>
      </c>
      <c r="CN37" s="213">
        <v>14143213426</v>
      </c>
      <c r="CO37" s="213">
        <v>4052772101</v>
      </c>
      <c r="CP37" s="213">
        <v>2159900815</v>
      </c>
      <c r="CQ37" s="213">
        <v>2064211421</v>
      </c>
      <c r="CR37" s="213">
        <v>231008403</v>
      </c>
      <c r="CS37" s="213">
        <v>8467185000</v>
      </c>
      <c r="CT37" s="213">
        <v>710023918</v>
      </c>
      <c r="CU37" s="213">
        <v>364188887</v>
      </c>
      <c r="CV37" s="209">
        <f t="shared" ref="CV37:CV39" si="55">+B37+D37+F37+H37+J37+L37+N37+P37+R37+T37+W37+Y37+AA37+AC37+AE37+AG37+AI37+AK37+AM37+AO37+AQ37+AS37+AU37+AW37+AY37+BA37+BC37+BE37+BG37+BI37+BK37+BM37+BO37+BQ37+BS37+BU37+BW37+BY37+CA37+CC37+CE37+CG37+CI37+CK37+CM37+CP37+CR37</f>
        <v>1157076371031</v>
      </c>
      <c r="CW37" s="209">
        <f t="shared" ref="CW37:CW39" si="56">+C37+E37+G37+I37+K37+M37+O37+Q37+S37+U37+X37+Z37+AB37+AD37+AF37+AH37+AJ37+AL37+AN37+AP37+AR37+AT37+AV37+AX37+AZ37+BB37+BD37+BF37+BH37+BJ37+BL37+BN37+BP37+BR37+BT37+BV37+BX37+BZ37+CB37+CD37+CF37+CH37+CJ37+CL37+CN37+CQ37+CS37</f>
        <v>742152703682</v>
      </c>
    </row>
    <row r="38" spans="1:101" x14ac:dyDescent="0.2">
      <c r="A38" s="226" t="s">
        <v>62</v>
      </c>
      <c r="B38" s="213">
        <v>3762761721</v>
      </c>
      <c r="C38" s="213">
        <v>5000637562</v>
      </c>
      <c r="D38" s="213">
        <v>15736800898</v>
      </c>
      <c r="E38" s="213">
        <v>9258087946</v>
      </c>
      <c r="F38" s="213">
        <v>5214410673</v>
      </c>
      <c r="G38" s="213">
        <v>9368108835</v>
      </c>
      <c r="H38" s="213">
        <v>5992634580</v>
      </c>
      <c r="I38" s="213">
        <v>4451005102</v>
      </c>
      <c r="J38" s="213">
        <v>96528817</v>
      </c>
      <c r="K38" s="213">
        <v>796678237</v>
      </c>
      <c r="L38" s="220">
        <v>83005374</v>
      </c>
      <c r="M38" s="220">
        <v>83817197</v>
      </c>
      <c r="N38" s="213">
        <v>4111095623</v>
      </c>
      <c r="O38" s="213">
        <v>3686476926</v>
      </c>
      <c r="P38" s="213">
        <v>199477810312</v>
      </c>
      <c r="Q38" s="213">
        <v>223628480238</v>
      </c>
      <c r="R38" s="213">
        <v>5992634580</v>
      </c>
      <c r="S38" s="213">
        <v>4451005102</v>
      </c>
      <c r="T38" s="213">
        <v>4320759000</v>
      </c>
      <c r="U38" s="213">
        <v>2124694298</v>
      </c>
      <c r="V38" s="213">
        <v>3044302151</v>
      </c>
      <c r="W38" s="213">
        <v>292919000</v>
      </c>
      <c r="X38" s="213">
        <v>295667000</v>
      </c>
      <c r="Y38" s="213"/>
      <c r="Z38" s="213"/>
      <c r="AA38" s="213">
        <v>0</v>
      </c>
      <c r="AB38" s="213">
        <v>0</v>
      </c>
      <c r="AC38" s="213">
        <v>4669887914</v>
      </c>
      <c r="AD38" s="213">
        <v>3072216706</v>
      </c>
      <c r="AE38" s="213">
        <v>1619878506</v>
      </c>
      <c r="AF38" s="213">
        <v>1145241565</v>
      </c>
      <c r="AG38" s="213">
        <v>6621823409</v>
      </c>
      <c r="AH38" s="213">
        <v>8363835994</v>
      </c>
      <c r="AI38" s="213">
        <f>(29885378+15102575)*1000</f>
        <v>44987953000</v>
      </c>
      <c r="AJ38" s="213">
        <f>(38021103+16021814)*1000</f>
        <v>54042917000</v>
      </c>
      <c r="AK38" s="213"/>
      <c r="AL38" s="213"/>
      <c r="AM38" s="213">
        <v>315296000</v>
      </c>
      <c r="AN38" s="213">
        <v>347000000</v>
      </c>
      <c r="AO38" s="213">
        <v>3010901000</v>
      </c>
      <c r="AP38" s="213">
        <v>3480161000</v>
      </c>
      <c r="AQ38" s="213">
        <v>8878093334</v>
      </c>
      <c r="AR38" s="213">
        <v>5842448037</v>
      </c>
      <c r="AS38" s="213">
        <v>881192000</v>
      </c>
      <c r="AT38" s="213">
        <v>357184859</v>
      </c>
      <c r="AU38" s="213">
        <v>2696384000</v>
      </c>
      <c r="AV38" s="213">
        <v>1270547993</v>
      </c>
      <c r="AW38" s="213">
        <v>2073186325</v>
      </c>
      <c r="AX38" s="213">
        <v>2140287307</v>
      </c>
      <c r="AY38" s="213"/>
      <c r="AZ38" s="213"/>
      <c r="BA38" s="213">
        <f>3489149276+9611519</f>
        <v>3498760795</v>
      </c>
      <c r="BB38" s="213">
        <f>3651325141+19386402</f>
        <v>3670711543</v>
      </c>
      <c r="BC38" s="213">
        <v>4693792838</v>
      </c>
      <c r="BD38" s="213">
        <v>7572073701</v>
      </c>
      <c r="BE38" s="213"/>
      <c r="BF38" s="213"/>
      <c r="BG38" s="213">
        <v>39618000000</v>
      </c>
      <c r="BH38" s="213">
        <v>40217000000</v>
      </c>
      <c r="BI38" s="213">
        <v>1304757000</v>
      </c>
      <c r="BJ38" s="213">
        <v>2505254000</v>
      </c>
      <c r="BK38" s="213"/>
      <c r="BL38" s="213"/>
      <c r="BM38" s="213">
        <v>329868741954</v>
      </c>
      <c r="BN38" s="213">
        <v>543786985617</v>
      </c>
      <c r="BO38" s="213">
        <v>5231487427</v>
      </c>
      <c r="BP38" s="213">
        <v>8399486076</v>
      </c>
      <c r="BQ38" s="213"/>
      <c r="BR38" s="213">
        <v>473480</v>
      </c>
      <c r="BS38" s="213"/>
      <c r="BT38" s="213">
        <v>36524794</v>
      </c>
      <c r="BU38" s="235">
        <v>54574319000</v>
      </c>
      <c r="BV38" s="235">
        <v>47770508000</v>
      </c>
      <c r="BW38" s="235">
        <v>646735557</v>
      </c>
      <c r="BX38" s="235">
        <v>819841146</v>
      </c>
      <c r="BY38" s="235">
        <v>2572728436</v>
      </c>
      <c r="BZ38" s="235">
        <v>3758641333</v>
      </c>
      <c r="CA38" s="213">
        <v>629692</v>
      </c>
      <c r="CB38" s="213">
        <v>1225013</v>
      </c>
      <c r="CC38" s="213">
        <v>3536685661</v>
      </c>
      <c r="CD38" s="213">
        <v>4001352351</v>
      </c>
      <c r="CE38" s="213">
        <v>33787130000</v>
      </c>
      <c r="CF38" s="213">
        <v>28427218000</v>
      </c>
      <c r="CG38" s="213">
        <v>70438000</v>
      </c>
      <c r="CH38" s="213">
        <v>42548000</v>
      </c>
      <c r="CI38" s="213">
        <v>39618000000</v>
      </c>
      <c r="CJ38" s="213">
        <v>40217000000</v>
      </c>
      <c r="CK38" s="213"/>
      <c r="CL38" s="213"/>
      <c r="CM38" s="213">
        <v>10635386001</v>
      </c>
      <c r="CN38" s="213">
        <v>9273626501</v>
      </c>
      <c r="CO38" s="213">
        <v>3381188871</v>
      </c>
      <c r="CP38" s="213">
        <v>956413286</v>
      </c>
      <c r="CQ38" s="213">
        <v>1055728615</v>
      </c>
      <c r="CR38" s="213">
        <v>14151000</v>
      </c>
      <c r="CS38" s="213">
        <v>4789620585</v>
      </c>
      <c r="CT38" s="213"/>
      <c r="CU38" s="213"/>
      <c r="CV38" s="209">
        <f t="shared" si="55"/>
        <v>851464112713</v>
      </c>
      <c r="CW38" s="209">
        <f t="shared" si="56"/>
        <v>1089552317659</v>
      </c>
    </row>
    <row r="39" spans="1:101" x14ac:dyDescent="0.2">
      <c r="A39" s="214" t="s">
        <v>63</v>
      </c>
      <c r="B39" s="213">
        <f>171809671+368963015</f>
        <v>540772686</v>
      </c>
      <c r="C39" s="213">
        <f>159116383+470916023</f>
        <v>630032406</v>
      </c>
      <c r="D39" s="213">
        <v>1174709007</v>
      </c>
      <c r="E39" s="213">
        <v>1044483251</v>
      </c>
      <c r="F39" s="213">
        <v>430438009</v>
      </c>
      <c r="G39" s="213">
        <v>767678782</v>
      </c>
      <c r="H39" s="213">
        <f>799741895+20542937</f>
        <v>820284832</v>
      </c>
      <c r="I39" s="213">
        <f>646248332+82794095</f>
        <v>729042427</v>
      </c>
      <c r="J39" s="213">
        <f>268776535+659640265</f>
        <v>928416800</v>
      </c>
      <c r="K39" s="213">
        <f>325468999+139500494</f>
        <v>464969493</v>
      </c>
      <c r="L39" s="237"/>
      <c r="M39" s="237"/>
      <c r="N39" s="213">
        <v>1588439489</v>
      </c>
      <c r="O39" s="213">
        <v>1221522077</v>
      </c>
      <c r="P39" s="213">
        <v>3321390655</v>
      </c>
      <c r="Q39" s="213">
        <v>5690408302</v>
      </c>
      <c r="R39" s="213">
        <f>799741895+20542937</f>
        <v>820284832</v>
      </c>
      <c r="S39" s="213">
        <f>646248332+82794095</f>
        <v>729042427</v>
      </c>
      <c r="T39" s="213">
        <v>3066247000</v>
      </c>
      <c r="U39" s="213">
        <v>2850606597</v>
      </c>
      <c r="V39" s="213">
        <v>300311423</v>
      </c>
      <c r="W39" s="213">
        <v>321672000</v>
      </c>
      <c r="X39" s="213">
        <v>420916000</v>
      </c>
      <c r="Y39" s="213">
        <v>9244163583</v>
      </c>
      <c r="Z39" s="213">
        <v>18225212918</v>
      </c>
      <c r="AA39" s="213">
        <v>0</v>
      </c>
      <c r="AB39" s="213">
        <v>0</v>
      </c>
      <c r="AC39" s="213">
        <v>2651179583</v>
      </c>
      <c r="AD39" s="213">
        <v>2645738916</v>
      </c>
      <c r="AE39" s="213">
        <f>297926804+8555000</f>
        <v>306481804</v>
      </c>
      <c r="AF39" s="213">
        <f>379022028+5070000</f>
        <v>384092028</v>
      </c>
      <c r="AG39" s="213">
        <f>1003668411+102363864</f>
        <v>1106032275</v>
      </c>
      <c r="AH39" s="213">
        <f>1637809074+123721457</f>
        <v>1761530531</v>
      </c>
      <c r="AI39" s="213">
        <f>4000520000+624745000</f>
        <v>4625265000</v>
      </c>
      <c r="AJ39" s="213">
        <f>3904115000+1353265000</f>
        <v>5257380000</v>
      </c>
      <c r="AK39" s="213">
        <v>17903853860</v>
      </c>
      <c r="AL39" s="213">
        <v>20737371638</v>
      </c>
      <c r="AM39" s="213">
        <v>321727000</v>
      </c>
      <c r="AN39" s="213">
        <v>208924000</v>
      </c>
      <c r="AO39" s="213">
        <v>2006241000</v>
      </c>
      <c r="AP39" s="213">
        <v>5779981000</v>
      </c>
      <c r="AQ39" s="213">
        <v>1621824660</v>
      </c>
      <c r="AR39" s="213">
        <v>1531878709</v>
      </c>
      <c r="AS39" s="213">
        <v>492720000</v>
      </c>
      <c r="AT39" s="213">
        <v>825804158</v>
      </c>
      <c r="AU39" s="213">
        <v>1593886000</v>
      </c>
      <c r="AV39" s="213">
        <v>2113645533</v>
      </c>
      <c r="AW39" s="213">
        <v>750738661</v>
      </c>
      <c r="AX39" s="213">
        <v>989883415</v>
      </c>
      <c r="AY39" s="213">
        <v>438691000</v>
      </c>
      <c r="AZ39" s="213">
        <v>401585000</v>
      </c>
      <c r="BA39" s="213">
        <v>799073325</v>
      </c>
      <c r="BB39" s="213">
        <v>671576518</v>
      </c>
      <c r="BC39" s="213">
        <f>1315192869+278966465</f>
        <v>1594159334</v>
      </c>
      <c r="BD39" s="213">
        <f>2595911321+282157604</f>
        <v>2878068925</v>
      </c>
      <c r="BE39" s="213">
        <v>596687155</v>
      </c>
      <c r="BF39" s="213">
        <v>502959173</v>
      </c>
      <c r="BG39" s="213">
        <v>7097000000</v>
      </c>
      <c r="BH39" s="213">
        <v>7730000000</v>
      </c>
      <c r="BI39" s="213">
        <f>(745320+551198)*1000</f>
        <v>1296518000</v>
      </c>
      <c r="BJ39" s="213">
        <f>611153000+855336000</f>
        <v>1466489000</v>
      </c>
      <c r="BK39" s="213"/>
      <c r="BL39" s="213">
        <v>424778745</v>
      </c>
      <c r="BM39" s="213">
        <v>126633740405</v>
      </c>
      <c r="BN39" s="213">
        <v>178435063658</v>
      </c>
      <c r="BO39" s="213">
        <v>1506008214</v>
      </c>
      <c r="BP39" s="213">
        <v>1867242500</v>
      </c>
      <c r="BQ39" s="213"/>
      <c r="BR39" s="213">
        <v>195172</v>
      </c>
      <c r="BS39" s="213"/>
      <c r="BT39" s="213">
        <v>13486000</v>
      </c>
      <c r="BU39" s="235">
        <v>5167896000</v>
      </c>
      <c r="BV39" s="235">
        <v>5308275000</v>
      </c>
      <c r="BW39" s="235">
        <v>295384958</v>
      </c>
      <c r="BX39" s="235">
        <v>297477277</v>
      </c>
      <c r="BY39" s="235">
        <f>103919235+1177059383</f>
        <v>1280978618</v>
      </c>
      <c r="BZ39" s="235">
        <f>50865224+942880931</f>
        <v>993746155</v>
      </c>
      <c r="CA39" s="213">
        <v>383009</v>
      </c>
      <c r="CB39" s="213">
        <v>179741</v>
      </c>
      <c r="CC39" s="213">
        <f>1647649444+98928797</f>
        <v>1746578241</v>
      </c>
      <c r="CD39" s="213">
        <f>2174842664+89935270</f>
        <v>2264777934</v>
      </c>
      <c r="CE39" s="213">
        <f>5200707000</f>
        <v>5200707000</v>
      </c>
      <c r="CF39" s="213">
        <f>5378894000+35000000</f>
        <v>5413894000</v>
      </c>
      <c r="CG39" s="213">
        <v>6673000</v>
      </c>
      <c r="CH39" s="213">
        <v>2000000</v>
      </c>
      <c r="CI39" s="213">
        <v>7097000000</v>
      </c>
      <c r="CJ39" s="213">
        <v>7730000000</v>
      </c>
      <c r="CK39" s="213">
        <v>2255538791</v>
      </c>
      <c r="CL39" s="213">
        <v>4115673764</v>
      </c>
      <c r="CM39" s="213">
        <v>1740746896</v>
      </c>
      <c r="CN39" s="213">
        <v>1978163946</v>
      </c>
      <c r="CO39" s="213">
        <v>891222407</v>
      </c>
      <c r="CP39" s="213">
        <v>1276792520</v>
      </c>
      <c r="CQ39" s="213">
        <v>967059490</v>
      </c>
      <c r="CR39" s="213">
        <f>124637548+165029831</f>
        <v>289667379</v>
      </c>
      <c r="CS39" s="213">
        <f>423325211+2833508889</f>
        <v>3256834100</v>
      </c>
      <c r="CT39" s="213">
        <f>178238579+248277513</f>
        <v>426516092</v>
      </c>
      <c r="CU39" s="213">
        <v>288070492</v>
      </c>
      <c r="CV39" s="209">
        <f t="shared" si="55"/>
        <v>221956992581</v>
      </c>
      <c r="CW39" s="209">
        <f t="shared" si="56"/>
        <v>301729670706</v>
      </c>
    </row>
    <row r="40" spans="1:101" s="224" customFormat="1" x14ac:dyDescent="0.2">
      <c r="A40" s="223" t="s">
        <v>64</v>
      </c>
      <c r="B40" s="210">
        <f t="shared" ref="B40:K40" si="57">+B37-B38-B39</f>
        <v>209997197</v>
      </c>
      <c r="C40" s="210">
        <f t="shared" si="57"/>
        <v>364859788</v>
      </c>
      <c r="D40" s="210">
        <f t="shared" si="57"/>
        <v>4359911693</v>
      </c>
      <c r="E40" s="210">
        <f t="shared" si="57"/>
        <v>860444930</v>
      </c>
      <c r="F40" s="210">
        <f t="shared" si="57"/>
        <v>87391267</v>
      </c>
      <c r="G40" s="210">
        <f t="shared" si="57"/>
        <v>1270660070</v>
      </c>
      <c r="H40" s="210">
        <f t="shared" si="57"/>
        <v>443102918</v>
      </c>
      <c r="I40" s="210">
        <f t="shared" si="57"/>
        <v>150876556</v>
      </c>
      <c r="J40" s="210">
        <f t="shared" si="57"/>
        <v>-185073518</v>
      </c>
      <c r="K40" s="210">
        <f t="shared" si="57"/>
        <v>-662613363</v>
      </c>
      <c r="L40" s="210">
        <v>17517660</v>
      </c>
      <c r="M40" s="210">
        <f t="shared" ref="M40:AS40" si="58">+M37-M38-M39</f>
        <v>20935176</v>
      </c>
      <c r="N40" s="210">
        <f t="shared" si="58"/>
        <v>-527314387</v>
      </c>
      <c r="O40" s="210">
        <f t="shared" si="58"/>
        <v>355753111</v>
      </c>
      <c r="P40" s="210">
        <f t="shared" si="58"/>
        <v>22986769817</v>
      </c>
      <c r="Q40" s="210">
        <f t="shared" si="58"/>
        <v>13107409611</v>
      </c>
      <c r="R40" s="210">
        <f t="shared" si="58"/>
        <v>443102918</v>
      </c>
      <c r="S40" s="210">
        <f t="shared" si="58"/>
        <v>150876556</v>
      </c>
      <c r="T40" s="210">
        <f t="shared" si="58"/>
        <v>-907456602</v>
      </c>
      <c r="U40" s="210">
        <f t="shared" si="58"/>
        <v>744304681</v>
      </c>
      <c r="V40" s="210">
        <f t="shared" si="58"/>
        <v>2118266493</v>
      </c>
      <c r="W40" s="210">
        <f t="shared" si="58"/>
        <v>37611000</v>
      </c>
      <c r="X40" s="210">
        <f t="shared" si="58"/>
        <v>69450000</v>
      </c>
      <c r="Y40" s="210">
        <f t="shared" si="58"/>
        <v>-173311622</v>
      </c>
      <c r="Z40" s="210">
        <f t="shared" si="58"/>
        <v>1969901699</v>
      </c>
      <c r="AA40" s="210">
        <f t="shared" si="58"/>
        <v>0</v>
      </c>
      <c r="AB40" s="210">
        <f t="shared" si="58"/>
        <v>0</v>
      </c>
      <c r="AC40" s="210">
        <f t="shared" si="58"/>
        <v>2514639804</v>
      </c>
      <c r="AD40" s="210">
        <f t="shared" si="58"/>
        <v>1104055228</v>
      </c>
      <c r="AE40" s="210">
        <f t="shared" si="58"/>
        <v>-202056316</v>
      </c>
      <c r="AF40" s="210">
        <f t="shared" si="58"/>
        <v>42687047</v>
      </c>
      <c r="AG40" s="210">
        <f t="shared" si="58"/>
        <v>600740282</v>
      </c>
      <c r="AH40" s="210">
        <f t="shared" si="58"/>
        <v>926837554</v>
      </c>
      <c r="AI40" s="210">
        <f t="shared" si="58"/>
        <v>7422950000</v>
      </c>
      <c r="AJ40" s="210">
        <f t="shared" si="58"/>
        <v>8194851000</v>
      </c>
      <c r="AK40" s="210">
        <f t="shared" si="58"/>
        <v>1585824622</v>
      </c>
      <c r="AL40" s="210">
        <f t="shared" si="58"/>
        <v>913757804</v>
      </c>
      <c r="AM40" s="210">
        <f t="shared" si="58"/>
        <v>131276000</v>
      </c>
      <c r="AN40" s="210">
        <f t="shared" si="58"/>
        <v>32835000</v>
      </c>
      <c r="AO40" s="210">
        <f t="shared" si="58"/>
        <v>531135000</v>
      </c>
      <c r="AP40" s="210">
        <f t="shared" si="58"/>
        <v>-971886000</v>
      </c>
      <c r="AQ40" s="210">
        <f t="shared" si="58"/>
        <v>507167575</v>
      </c>
      <c r="AR40" s="210">
        <f t="shared" si="58"/>
        <v>-3331932309</v>
      </c>
      <c r="AS40" s="210">
        <f t="shared" si="58"/>
        <v>67943000</v>
      </c>
      <c r="AT40" s="210">
        <f t="shared" ref="AT40:CW40" si="59">+AT37-AT38-AT39</f>
        <v>-997234817</v>
      </c>
      <c r="AU40" s="210">
        <f t="shared" si="59"/>
        <v>179569000</v>
      </c>
      <c r="AV40" s="210">
        <f t="shared" si="59"/>
        <v>184439532</v>
      </c>
      <c r="AW40" s="210">
        <f t="shared" si="59"/>
        <v>138912002</v>
      </c>
      <c r="AX40" s="210">
        <f t="shared" si="59"/>
        <v>-313796677</v>
      </c>
      <c r="AY40" s="210">
        <f t="shared" si="59"/>
        <v>41052000</v>
      </c>
      <c r="AZ40" s="210">
        <f t="shared" si="59"/>
        <v>39910000</v>
      </c>
      <c r="BA40" s="210">
        <f t="shared" si="59"/>
        <v>-1367812419</v>
      </c>
      <c r="BB40" s="210">
        <f t="shared" si="59"/>
        <v>214816160</v>
      </c>
      <c r="BC40" s="210">
        <f t="shared" si="59"/>
        <v>434235615</v>
      </c>
      <c r="BD40" s="210">
        <f t="shared" si="59"/>
        <v>-376255904</v>
      </c>
      <c r="BE40" s="210">
        <f t="shared" si="59"/>
        <v>-596687155</v>
      </c>
      <c r="BF40" s="210">
        <f t="shared" si="59"/>
        <v>-502959173</v>
      </c>
      <c r="BG40" s="210">
        <f t="shared" si="59"/>
        <v>9546000000</v>
      </c>
      <c r="BH40" s="210">
        <f t="shared" si="59"/>
        <v>15372000000</v>
      </c>
      <c r="BI40" s="210">
        <f t="shared" si="59"/>
        <v>353602000</v>
      </c>
      <c r="BJ40" s="210">
        <f t="shared" si="59"/>
        <v>-73080000</v>
      </c>
      <c r="BK40" s="210"/>
      <c r="BL40" s="210">
        <f t="shared" ref="BL40" si="60">+BL37-BL38-BL39</f>
        <v>27171255</v>
      </c>
      <c r="BM40" s="210">
        <f t="shared" si="59"/>
        <v>36194552659</v>
      </c>
      <c r="BN40" s="210">
        <f t="shared" si="59"/>
        <v>-713588502617</v>
      </c>
      <c r="BO40" s="210">
        <f t="shared" ref="BO40:BP40" si="61">+BO37-BO38-BO39</f>
        <v>1201290069</v>
      </c>
      <c r="BP40" s="210">
        <f t="shared" si="61"/>
        <v>1953230644</v>
      </c>
      <c r="BQ40" s="210">
        <f t="shared" ref="BQ40:BV40" si="62">+BQ37-BQ38-BQ39</f>
        <v>0</v>
      </c>
      <c r="BR40" s="210">
        <f t="shared" si="62"/>
        <v>78409</v>
      </c>
      <c r="BS40" s="210">
        <f t="shared" si="62"/>
        <v>0</v>
      </c>
      <c r="BT40" s="210">
        <f t="shared" si="62"/>
        <v>16769206</v>
      </c>
      <c r="BU40" s="210">
        <f t="shared" si="62"/>
        <v>-10969834000</v>
      </c>
      <c r="BV40" s="210">
        <f t="shared" si="62"/>
        <v>4650821000</v>
      </c>
      <c r="BW40" s="210">
        <f t="shared" ref="BW40" si="63">+BW37-BW38-BW39</f>
        <v>99663409</v>
      </c>
      <c r="BX40" s="210">
        <f t="shared" ref="BX40" si="64">+BX37-BX38-BX39</f>
        <v>140018733</v>
      </c>
      <c r="BY40" s="210">
        <f t="shared" ref="BY40" si="65">+BY37-BY38-BY39</f>
        <v>427247801</v>
      </c>
      <c r="BZ40" s="210">
        <f t="shared" ref="BZ40" si="66">+BZ37-BZ38-BZ39</f>
        <v>492761478</v>
      </c>
      <c r="CA40" s="210">
        <f t="shared" ref="CA40:CS40" si="67">+CA37-CA38-CA39</f>
        <v>169910</v>
      </c>
      <c r="CB40" s="210">
        <f t="shared" si="67"/>
        <v>34947</v>
      </c>
      <c r="CC40" s="210">
        <f t="shared" si="67"/>
        <v>405741203</v>
      </c>
      <c r="CD40" s="210">
        <f t="shared" si="67"/>
        <v>517806715</v>
      </c>
      <c r="CE40" s="210">
        <f t="shared" si="67"/>
        <v>-111148000</v>
      </c>
      <c r="CF40" s="210">
        <f t="shared" si="67"/>
        <v>-1320855000</v>
      </c>
      <c r="CG40" s="210">
        <f t="shared" si="67"/>
        <v>16171000</v>
      </c>
      <c r="CH40" s="210">
        <f t="shared" si="67"/>
        <v>2053000</v>
      </c>
      <c r="CI40" s="210">
        <f t="shared" si="67"/>
        <v>9546000000</v>
      </c>
      <c r="CJ40" s="210">
        <f t="shared" si="67"/>
        <v>15372000000</v>
      </c>
      <c r="CK40" s="210">
        <f t="shared" si="67"/>
        <v>227984332</v>
      </c>
      <c r="CL40" s="210">
        <f t="shared" si="67"/>
        <v>391847677</v>
      </c>
      <c r="CM40" s="210">
        <f t="shared" si="67"/>
        <v>-1917197030</v>
      </c>
      <c r="CN40" s="210">
        <f t="shared" si="67"/>
        <v>2891422979</v>
      </c>
      <c r="CO40" s="210">
        <f t="shared" si="67"/>
        <v>-219639177</v>
      </c>
      <c r="CP40" s="210">
        <f t="shared" si="67"/>
        <v>-73304991</v>
      </c>
      <c r="CQ40" s="210">
        <f t="shared" si="67"/>
        <v>41423316</v>
      </c>
      <c r="CR40" s="210">
        <f t="shared" si="67"/>
        <v>-72809976</v>
      </c>
      <c r="CS40" s="210">
        <f t="shared" si="67"/>
        <v>420730315</v>
      </c>
      <c r="CT40" s="210">
        <f t="shared" ref="CT40:CU40" si="68">+CT37-CT38-CT39</f>
        <v>283507826</v>
      </c>
      <c r="CU40" s="210">
        <f t="shared" si="68"/>
        <v>76118395</v>
      </c>
      <c r="CV40" s="210">
        <f t="shared" si="59"/>
        <v>83655265737</v>
      </c>
      <c r="CW40" s="210">
        <f t="shared" si="59"/>
        <v>-649129284683</v>
      </c>
    </row>
    <row r="41" spans="1:101" x14ac:dyDescent="0.2">
      <c r="A41" s="214" t="s">
        <v>65</v>
      </c>
      <c r="B41" s="213">
        <f>22457030+2855956</f>
        <v>25312986</v>
      </c>
      <c r="C41" s="213">
        <f>8578818+23108063</f>
        <v>31686881</v>
      </c>
      <c r="D41" s="213">
        <v>1301676464</v>
      </c>
      <c r="E41" s="213">
        <v>1279367346</v>
      </c>
      <c r="F41" s="213">
        <v>1840263739</v>
      </c>
      <c r="G41" s="213">
        <v>781541622</v>
      </c>
      <c r="H41" s="213">
        <v>70909086</v>
      </c>
      <c r="I41" s="212">
        <v>79951738</v>
      </c>
      <c r="J41" s="213">
        <f>724122+220597051</f>
        <v>221321173</v>
      </c>
      <c r="K41" s="213">
        <f>60000+720195260</f>
        <v>720255260</v>
      </c>
      <c r="L41" s="220">
        <v>470120</v>
      </c>
      <c r="M41" s="220">
        <f>167136+2352751+66669</f>
        <v>2586556</v>
      </c>
      <c r="N41" s="213">
        <f>1636477805+202451946</f>
        <v>1838929751</v>
      </c>
      <c r="O41" s="213">
        <f>382482017+99859981</f>
        <v>482341998</v>
      </c>
      <c r="P41" s="213">
        <f>292283+4440000215+2</f>
        <v>4440292500</v>
      </c>
      <c r="Q41" s="213">
        <f>271727019+16392396606</f>
        <v>16664123625</v>
      </c>
      <c r="R41" s="213">
        <v>70909086</v>
      </c>
      <c r="S41" s="213">
        <v>79951738</v>
      </c>
      <c r="T41" s="213">
        <f>10306389+2073825569</f>
        <v>2084131958</v>
      </c>
      <c r="U41" s="213">
        <f>30954927+27010951</f>
        <v>57965878</v>
      </c>
      <c r="V41" s="213">
        <f>61409258+5944128</f>
        <v>67353386</v>
      </c>
      <c r="W41" s="213"/>
      <c r="X41" s="213"/>
      <c r="Y41" s="213">
        <v>91887751</v>
      </c>
      <c r="Z41" s="213">
        <v>179533671</v>
      </c>
      <c r="AA41" s="213">
        <v>0</v>
      </c>
      <c r="AB41" s="213">
        <v>0</v>
      </c>
      <c r="AC41" s="213">
        <f>18317389+36614396</f>
        <v>54931785</v>
      </c>
      <c r="AD41" s="213">
        <f>51488168+41686586</f>
        <v>93174754</v>
      </c>
      <c r="AE41" s="213">
        <v>229954158</v>
      </c>
      <c r="AF41" s="213">
        <v>18606716</v>
      </c>
      <c r="AG41" s="213"/>
      <c r="AH41" s="213"/>
      <c r="AI41" s="213">
        <f>1778000+2025774000</f>
        <v>2027552000</v>
      </c>
      <c r="AJ41" s="213">
        <v>725000</v>
      </c>
      <c r="AK41" s="213">
        <v>57702297</v>
      </c>
      <c r="AL41" s="213">
        <f>238480833+775377869</f>
        <v>1013858702</v>
      </c>
      <c r="AM41" s="213">
        <v>1526000</v>
      </c>
      <c r="AN41" s="213">
        <v>101150000</v>
      </c>
      <c r="AO41" s="213">
        <v>25815000</v>
      </c>
      <c r="AP41" s="213"/>
      <c r="AQ41" s="213">
        <f>335656485+7554723</f>
        <v>343211208</v>
      </c>
      <c r="AR41" s="213">
        <f>276197423+2073214</f>
        <v>278270637</v>
      </c>
      <c r="AS41" s="213">
        <v>8390000</v>
      </c>
      <c r="AT41" s="213">
        <v>41111540</v>
      </c>
      <c r="AU41" s="213"/>
      <c r="AV41" s="213"/>
      <c r="AW41" s="213">
        <v>96660738</v>
      </c>
      <c r="AX41" s="213">
        <v>598962432</v>
      </c>
      <c r="AY41" s="213"/>
      <c r="AZ41" s="213"/>
      <c r="BA41" s="213">
        <v>1573239802</v>
      </c>
      <c r="BB41" s="213">
        <v>100856923</v>
      </c>
      <c r="BC41" s="213">
        <v>31635925</v>
      </c>
      <c r="BD41" s="213">
        <v>1666982991</v>
      </c>
      <c r="BE41" s="213">
        <v>44440</v>
      </c>
      <c r="BF41" s="213">
        <v>30505</v>
      </c>
      <c r="BG41" s="213">
        <f>6477000000+156000000</f>
        <v>6633000000</v>
      </c>
      <c r="BH41" s="213">
        <f>386000000+3375000000</f>
        <v>3761000000</v>
      </c>
      <c r="BI41" s="213">
        <f>90250000+86753000</f>
        <v>177003000</v>
      </c>
      <c r="BJ41" s="213">
        <f>101483000+128177000</f>
        <v>229660000</v>
      </c>
      <c r="BK41" s="213"/>
      <c r="BL41" s="213">
        <v>25835332</v>
      </c>
      <c r="BM41" s="213">
        <v>3599816064</v>
      </c>
      <c r="BN41" s="213">
        <v>2362384246</v>
      </c>
      <c r="BO41" s="213">
        <v>43746368</v>
      </c>
      <c r="BP41" s="213">
        <v>16548026</v>
      </c>
      <c r="BQ41" s="213"/>
      <c r="BR41" s="213">
        <v>686</v>
      </c>
      <c r="BS41" s="213"/>
      <c r="BT41" s="213"/>
      <c r="BU41" s="235">
        <f>5686677000+203800000-2995476000</f>
        <v>2895001000</v>
      </c>
      <c r="BV41" s="235">
        <f>857584000+136149000+4235844000</f>
        <v>5229577000</v>
      </c>
      <c r="BW41" s="235">
        <v>16254076</v>
      </c>
      <c r="BX41" s="235">
        <v>24969755</v>
      </c>
      <c r="BY41" s="235">
        <v>1535841</v>
      </c>
      <c r="BZ41" s="235">
        <v>26736380</v>
      </c>
      <c r="CA41" s="213">
        <f>502+938</f>
        <v>1440</v>
      </c>
      <c r="CB41" s="213">
        <f>5770+32464</f>
        <v>38234</v>
      </c>
      <c r="CC41" s="213">
        <v>11604523</v>
      </c>
      <c r="CD41" s="213">
        <v>1652600</v>
      </c>
      <c r="CE41" s="213">
        <v>1677562000</v>
      </c>
      <c r="CF41" s="213">
        <v>3058699000</v>
      </c>
      <c r="CG41" s="213"/>
      <c r="CH41" s="213">
        <v>2000</v>
      </c>
      <c r="CI41" s="213">
        <f>6477000000+156000000</f>
        <v>6633000000</v>
      </c>
      <c r="CJ41" s="213">
        <f>386000000+3375000000</f>
        <v>3761000000</v>
      </c>
      <c r="CK41" s="213">
        <f>13244835+1723990</f>
        <v>14968825</v>
      </c>
      <c r="CL41" s="213">
        <f>2346654+112570334</f>
        <v>114916988</v>
      </c>
      <c r="CM41" s="213">
        <v>909695680</v>
      </c>
      <c r="CN41" s="213">
        <v>3960515565</v>
      </c>
      <c r="CO41" s="213">
        <v>85986991</v>
      </c>
      <c r="CP41" s="213">
        <v>167507750</v>
      </c>
      <c r="CQ41" s="213">
        <v>14519448</v>
      </c>
      <c r="CR41" s="213">
        <v>84000000</v>
      </c>
      <c r="CS41" s="213"/>
      <c r="CT41" s="213">
        <v>1473978</v>
      </c>
      <c r="CU41" s="213">
        <v>4945824</v>
      </c>
      <c r="CV41" s="209">
        <f t="shared" ref="CV41:CV42" si="69">+B41+D41+F41+H41+J41+L41+N41+P41+R41+T41+W41+Y41+AA41+AC41+AE41+AG41+AI41+AK41+AM41+AO41+AQ41+AS41+AU41+AW41+AY41+BA41+BC41+BE41+BG41+BI41+BK41+BM41+BO41+BQ41+BS41+BU41+BW41+BY41+CA41+CC41+CE41+CG41+CI41+CK41+CM41+CP41+CR41</f>
        <v>39301464534</v>
      </c>
      <c r="CW41" s="209">
        <f t="shared" ref="CW41:CW42" si="70">+C41+E41+G41+I41+K41+M41+O41+Q41+S41+U41+X41+Z41+AB41+AD41+AF41+AH41+AJ41+AL41+AN41+AP41+AR41+AT41+AV41+AX41+AZ41+BB41+BD41+BF41+BH41+BJ41+BL41+BN41+BP41+BR41+BT41+BV41+BX41+BZ41+CB41+CD41+CF41+CH41+CJ41+CL41+CN41+CQ41+CS41</f>
        <v>46861091773</v>
      </c>
    </row>
    <row r="42" spans="1:101" x14ac:dyDescent="0.2">
      <c r="A42" s="214" t="s">
        <v>66</v>
      </c>
      <c r="B42" s="213">
        <f>13894515+18102717+1</f>
        <v>31997233</v>
      </c>
      <c r="C42" s="213">
        <f>733611+22994688+900</f>
        <v>23729199</v>
      </c>
      <c r="D42" s="213">
        <v>2261795343</v>
      </c>
      <c r="E42" s="213">
        <v>3408510080</v>
      </c>
      <c r="F42" s="213">
        <v>133290885</v>
      </c>
      <c r="G42" s="213">
        <v>562059714</v>
      </c>
      <c r="H42" s="212">
        <v>231682390</v>
      </c>
      <c r="I42" s="213">
        <v>91282561</v>
      </c>
      <c r="J42" s="213">
        <f>4950518+2439483</f>
        <v>7390001</v>
      </c>
      <c r="K42" s="213">
        <f>5036733+5771946</f>
        <v>10808679</v>
      </c>
      <c r="L42" s="220">
        <v>14783720</v>
      </c>
      <c r="M42" s="220">
        <f>11998816+6680021+429022</f>
        <v>19107859</v>
      </c>
      <c r="N42" s="213">
        <v>216742877</v>
      </c>
      <c r="O42" s="213">
        <v>329697283</v>
      </c>
      <c r="P42" s="213">
        <f>2011843+8114125417+143183353+998860193-240657396</f>
        <v>9017523410</v>
      </c>
      <c r="Q42" s="213">
        <f>1012829774+5031503333+59423378+3161252048+1225937203</f>
        <v>10490945736</v>
      </c>
      <c r="R42" s="213">
        <v>231682390</v>
      </c>
      <c r="S42" s="213">
        <v>91282561</v>
      </c>
      <c r="T42" s="213">
        <f>456492706+159838313</f>
        <v>616331019</v>
      </c>
      <c r="U42" s="213">
        <f>166855176+379535662</f>
        <v>546390838</v>
      </c>
      <c r="V42" s="213">
        <f>100439890+203026695</f>
        <v>303466585</v>
      </c>
      <c r="W42" s="213"/>
      <c r="X42" s="213">
        <v>16389000</v>
      </c>
      <c r="Y42" s="213">
        <v>86056625</v>
      </c>
      <c r="Z42" s="213">
        <f>4544703+79223071+295554074+89735555</f>
        <v>469057403</v>
      </c>
      <c r="AA42" s="213">
        <v>0</v>
      </c>
      <c r="AB42" s="213">
        <v>0</v>
      </c>
      <c r="AC42" s="213">
        <f>152857957+86834761</f>
        <v>239692718</v>
      </c>
      <c r="AD42" s="213">
        <f>55799623+121501810</f>
        <v>177301433</v>
      </c>
      <c r="AE42" s="213">
        <v>6625103</v>
      </c>
      <c r="AF42" s="213">
        <v>36849136</v>
      </c>
      <c r="AG42" s="213">
        <f>56559129+88858262</f>
        <v>145417391</v>
      </c>
      <c r="AH42" s="213">
        <f>88579405+23841819</f>
        <v>112421224</v>
      </c>
      <c r="AI42" s="213">
        <v>405196000</v>
      </c>
      <c r="AJ42" s="213">
        <f>380217000+7328771000</f>
        <v>7708988000</v>
      </c>
      <c r="AK42" s="213">
        <f>23554000+261840050</f>
        <v>285394050</v>
      </c>
      <c r="AL42" s="213">
        <f>67713011+558461370+207070534</f>
        <v>833244915</v>
      </c>
      <c r="AM42" s="213">
        <v>55370000</v>
      </c>
      <c r="AN42" s="213">
        <v>49691000</v>
      </c>
      <c r="AO42" s="213">
        <v>20635000</v>
      </c>
      <c r="AP42" s="213">
        <f>153932000+29875000</f>
        <v>183807000</v>
      </c>
      <c r="AQ42" s="213">
        <f>16686976+125676423</f>
        <v>142363399</v>
      </c>
      <c r="AR42" s="213">
        <v>352973628</v>
      </c>
      <c r="AS42" s="213">
        <v>14666000</v>
      </c>
      <c r="AT42" s="213">
        <v>29174373</v>
      </c>
      <c r="AU42" s="213"/>
      <c r="AV42" s="213">
        <v>3341000</v>
      </c>
      <c r="AW42" s="213">
        <f>161587347+17372067</f>
        <v>178959414</v>
      </c>
      <c r="AX42" s="213">
        <f>39325279+14266561</f>
        <v>53591840</v>
      </c>
      <c r="AY42" s="213"/>
      <c r="AZ42" s="213"/>
      <c r="BA42" s="213">
        <f>3993630+15655816</f>
        <v>19649446</v>
      </c>
      <c r="BB42" s="213">
        <f>3472123+15001343</f>
        <v>18473466</v>
      </c>
      <c r="BC42" s="213">
        <v>230639390</v>
      </c>
      <c r="BD42" s="213">
        <v>302738471</v>
      </c>
      <c r="BE42" s="213">
        <v>45398240</v>
      </c>
      <c r="BF42" s="213">
        <v>20370442</v>
      </c>
      <c r="BG42" s="213">
        <f>8650000000+15827000000</f>
        <v>24477000000</v>
      </c>
      <c r="BH42" s="213">
        <f>490000000+12284000000</f>
        <v>12774000000</v>
      </c>
      <c r="BI42" s="213">
        <f>49190000+58293000</f>
        <v>107483000</v>
      </c>
      <c r="BJ42" s="213">
        <f>107388000+49273000</f>
        <v>156661000</v>
      </c>
      <c r="BK42" s="213"/>
      <c r="BL42" s="213"/>
      <c r="BM42" s="213">
        <v>23716797705</v>
      </c>
      <c r="BN42" s="213">
        <v>97332314318</v>
      </c>
      <c r="BO42" s="213">
        <v>627184411</v>
      </c>
      <c r="BP42" s="213">
        <v>971397450</v>
      </c>
      <c r="BQ42" s="213"/>
      <c r="BR42" s="213">
        <f>18+466+1205</f>
        <v>1689</v>
      </c>
      <c r="BS42" s="213"/>
      <c r="BT42" s="213"/>
      <c r="BU42" s="235">
        <f>761424000+1677875000</f>
        <v>2439299000</v>
      </c>
      <c r="BV42" s="235">
        <f>944954000+1884877000</f>
        <v>2829831000</v>
      </c>
      <c r="BW42" s="235">
        <v>88264559</v>
      </c>
      <c r="BX42" s="235">
        <v>153459313</v>
      </c>
      <c r="BY42" s="235">
        <f>238532456+8950519</f>
        <v>247482975</v>
      </c>
      <c r="BZ42" s="235">
        <f>292282995+11317386</f>
        <v>303600381</v>
      </c>
      <c r="CA42" s="213">
        <f>32119+8747+18126</f>
        <v>58992</v>
      </c>
      <c r="CB42" s="213">
        <f>33773+17853+48872</f>
        <v>100498</v>
      </c>
      <c r="CC42" s="213">
        <v>154536785</v>
      </c>
      <c r="CD42" s="213">
        <v>149948052</v>
      </c>
      <c r="CE42" s="213">
        <f>1617542000+4487867000</f>
        <v>6105409000</v>
      </c>
      <c r="CF42" s="213">
        <f>-3017183000-2911348000</f>
        <v>-5928531000</v>
      </c>
      <c r="CG42" s="213">
        <v>14516000</v>
      </c>
      <c r="CH42" s="213"/>
      <c r="CI42" s="213">
        <f>8650000000+15827000000</f>
        <v>24477000000</v>
      </c>
      <c r="CJ42" s="213">
        <f>490000000+12284000000</f>
        <v>12774000000</v>
      </c>
      <c r="CK42" s="213">
        <f>18000231+17776490</f>
        <v>35776721</v>
      </c>
      <c r="CL42" s="213">
        <f>19796718+19704286</f>
        <v>39501004</v>
      </c>
      <c r="CM42" s="213">
        <v>3321749832</v>
      </c>
      <c r="CN42" s="213">
        <v>902842342</v>
      </c>
      <c r="CO42" s="213">
        <v>120994235</v>
      </c>
      <c r="CP42" s="213">
        <v>36173191</v>
      </c>
      <c r="CQ42" s="213">
        <v>38649980</v>
      </c>
      <c r="CR42" s="213">
        <v>1364070</v>
      </c>
      <c r="CS42" s="213">
        <v>7605805</v>
      </c>
      <c r="CT42" s="213">
        <v>12609039</v>
      </c>
      <c r="CU42" s="213">
        <v>7314873</v>
      </c>
      <c r="CV42" s="209">
        <f t="shared" si="69"/>
        <v>100489378285</v>
      </c>
      <c r="CW42" s="209">
        <f t="shared" si="70"/>
        <v>148447608673</v>
      </c>
    </row>
    <row r="43" spans="1:101" s="224" customFormat="1" x14ac:dyDescent="0.2">
      <c r="A43" s="223" t="s">
        <v>67</v>
      </c>
      <c r="B43" s="210">
        <f t="shared" ref="B43:K43" si="71">+B40+B41-B42</f>
        <v>203312950</v>
      </c>
      <c r="C43" s="210">
        <f t="shared" si="71"/>
        <v>372817470</v>
      </c>
      <c r="D43" s="210">
        <f t="shared" si="71"/>
        <v>3399792814</v>
      </c>
      <c r="E43" s="210">
        <f t="shared" si="71"/>
        <v>-1268697804</v>
      </c>
      <c r="F43" s="210">
        <f t="shared" si="71"/>
        <v>1794364121</v>
      </c>
      <c r="G43" s="210">
        <f t="shared" si="71"/>
        <v>1490141978</v>
      </c>
      <c r="H43" s="210">
        <f t="shared" si="71"/>
        <v>282329614</v>
      </c>
      <c r="I43" s="210">
        <f t="shared" si="71"/>
        <v>139545733</v>
      </c>
      <c r="J43" s="210">
        <f t="shared" si="71"/>
        <v>28857654</v>
      </c>
      <c r="K43" s="210">
        <f t="shared" si="71"/>
        <v>46833218</v>
      </c>
      <c r="L43" s="210">
        <v>3204060</v>
      </c>
      <c r="M43" s="210">
        <f t="shared" ref="M43:AS43" si="72">+M40+M41-M42</f>
        <v>4413873</v>
      </c>
      <c r="N43" s="210">
        <f t="shared" si="72"/>
        <v>1094872487</v>
      </c>
      <c r="O43" s="210">
        <f t="shared" si="72"/>
        <v>508397826</v>
      </c>
      <c r="P43" s="210">
        <f t="shared" si="72"/>
        <v>18409538907</v>
      </c>
      <c r="Q43" s="210">
        <f t="shared" si="72"/>
        <v>19280587500</v>
      </c>
      <c r="R43" s="210">
        <f t="shared" si="72"/>
        <v>282329614</v>
      </c>
      <c r="S43" s="210">
        <f t="shared" si="72"/>
        <v>139545733</v>
      </c>
      <c r="T43" s="210">
        <f t="shared" si="72"/>
        <v>560344337</v>
      </c>
      <c r="U43" s="210">
        <f t="shared" si="72"/>
        <v>255879721</v>
      </c>
      <c r="V43" s="210">
        <f t="shared" si="72"/>
        <v>1882153294</v>
      </c>
      <c r="W43" s="210">
        <f t="shared" si="72"/>
        <v>37611000</v>
      </c>
      <c r="X43" s="210">
        <f t="shared" si="72"/>
        <v>53061000</v>
      </c>
      <c r="Y43" s="210">
        <f t="shared" si="72"/>
        <v>-167480496</v>
      </c>
      <c r="Z43" s="210">
        <f t="shared" si="72"/>
        <v>1680377967</v>
      </c>
      <c r="AA43" s="210">
        <f t="shared" si="72"/>
        <v>0</v>
      </c>
      <c r="AB43" s="210">
        <f t="shared" si="72"/>
        <v>0</v>
      </c>
      <c r="AC43" s="210">
        <f t="shared" si="72"/>
        <v>2329878871</v>
      </c>
      <c r="AD43" s="210">
        <f t="shared" si="72"/>
        <v>1019928549</v>
      </c>
      <c r="AE43" s="210">
        <f t="shared" si="72"/>
        <v>21272739</v>
      </c>
      <c r="AF43" s="210">
        <f t="shared" si="72"/>
        <v>24444627</v>
      </c>
      <c r="AG43" s="210">
        <f t="shared" si="72"/>
        <v>455322891</v>
      </c>
      <c r="AH43" s="210">
        <f t="shared" si="72"/>
        <v>814416330</v>
      </c>
      <c r="AI43" s="210">
        <f t="shared" si="72"/>
        <v>9045306000</v>
      </c>
      <c r="AJ43" s="210">
        <f t="shared" si="72"/>
        <v>486588000</v>
      </c>
      <c r="AK43" s="210">
        <f t="shared" si="72"/>
        <v>1358132869</v>
      </c>
      <c r="AL43" s="210">
        <f t="shared" si="72"/>
        <v>1094371591</v>
      </c>
      <c r="AM43" s="210">
        <f t="shared" si="72"/>
        <v>77432000</v>
      </c>
      <c r="AN43" s="210">
        <f t="shared" si="72"/>
        <v>84294000</v>
      </c>
      <c r="AO43" s="210">
        <f t="shared" si="72"/>
        <v>536315000</v>
      </c>
      <c r="AP43" s="210">
        <f t="shared" si="72"/>
        <v>-1155693000</v>
      </c>
      <c r="AQ43" s="210">
        <f t="shared" si="72"/>
        <v>708015384</v>
      </c>
      <c r="AR43" s="210">
        <f t="shared" si="72"/>
        <v>-3406635300</v>
      </c>
      <c r="AS43" s="210">
        <f t="shared" si="72"/>
        <v>61667000</v>
      </c>
      <c r="AT43" s="210">
        <f t="shared" ref="AT43:CW43" si="73">+AT40+AT41-AT42</f>
        <v>-985297650</v>
      </c>
      <c r="AU43" s="210">
        <f t="shared" si="73"/>
        <v>179569000</v>
      </c>
      <c r="AV43" s="210">
        <f t="shared" si="73"/>
        <v>181098532</v>
      </c>
      <c r="AW43" s="210">
        <f t="shared" si="73"/>
        <v>56613326</v>
      </c>
      <c r="AX43" s="210">
        <f t="shared" si="73"/>
        <v>231573915</v>
      </c>
      <c r="AY43" s="210">
        <f t="shared" si="73"/>
        <v>41052000</v>
      </c>
      <c r="AZ43" s="210">
        <f t="shared" si="73"/>
        <v>39910000</v>
      </c>
      <c r="BA43" s="210">
        <f t="shared" si="73"/>
        <v>185777937</v>
      </c>
      <c r="BB43" s="210">
        <f t="shared" si="73"/>
        <v>297199617</v>
      </c>
      <c r="BC43" s="210">
        <f t="shared" si="73"/>
        <v>235232150</v>
      </c>
      <c r="BD43" s="210">
        <f t="shared" si="73"/>
        <v>987988616</v>
      </c>
      <c r="BE43" s="210">
        <f t="shared" si="73"/>
        <v>-642040955</v>
      </c>
      <c r="BF43" s="210">
        <f t="shared" si="73"/>
        <v>-523299110</v>
      </c>
      <c r="BG43" s="210">
        <f t="shared" si="73"/>
        <v>-8298000000</v>
      </c>
      <c r="BH43" s="210">
        <f t="shared" si="73"/>
        <v>6359000000</v>
      </c>
      <c r="BI43" s="210">
        <f t="shared" si="73"/>
        <v>423122000</v>
      </c>
      <c r="BJ43" s="210">
        <f t="shared" si="73"/>
        <v>-81000</v>
      </c>
      <c r="BK43" s="210"/>
      <c r="BL43" s="210">
        <f t="shared" ref="BL43" si="74">+BL40+BL41-BL42</f>
        <v>53006587</v>
      </c>
      <c r="BM43" s="210">
        <f t="shared" si="73"/>
        <v>16077571018</v>
      </c>
      <c r="BN43" s="210">
        <f t="shared" si="73"/>
        <v>-808558432689</v>
      </c>
      <c r="BO43" s="210">
        <f t="shared" ref="BO43:BP43" si="75">+BO40+BO41-BO42</f>
        <v>617852026</v>
      </c>
      <c r="BP43" s="210">
        <f t="shared" si="75"/>
        <v>998381220</v>
      </c>
      <c r="BQ43" s="210">
        <f t="shared" ref="BQ43:BX43" si="76">+BQ40+BQ41-BQ42</f>
        <v>0</v>
      </c>
      <c r="BR43" s="210">
        <f t="shared" si="76"/>
        <v>77406</v>
      </c>
      <c r="BS43" s="210">
        <f t="shared" si="76"/>
        <v>0</v>
      </c>
      <c r="BT43" s="210">
        <f t="shared" si="76"/>
        <v>16769206</v>
      </c>
      <c r="BU43" s="210">
        <f t="shared" si="76"/>
        <v>-10514132000</v>
      </c>
      <c r="BV43" s="210">
        <f t="shared" si="76"/>
        <v>7050567000</v>
      </c>
      <c r="BW43" s="210">
        <f t="shared" si="76"/>
        <v>27652926</v>
      </c>
      <c r="BX43" s="210">
        <f t="shared" si="76"/>
        <v>11529175</v>
      </c>
      <c r="BY43" s="210">
        <f t="shared" ref="BY43:BZ43" si="77">+BY40+BY41-BY42</f>
        <v>181300667</v>
      </c>
      <c r="BZ43" s="210">
        <f t="shared" si="77"/>
        <v>215897477</v>
      </c>
      <c r="CA43" s="210">
        <f t="shared" ref="CA43:CS43" si="78">+CA40+CA41-CA42</f>
        <v>112358</v>
      </c>
      <c r="CB43" s="210">
        <f t="shared" si="78"/>
        <v>-27317</v>
      </c>
      <c r="CC43" s="210">
        <f t="shared" si="78"/>
        <v>262808941</v>
      </c>
      <c r="CD43" s="210">
        <f t="shared" si="78"/>
        <v>369511263</v>
      </c>
      <c r="CE43" s="210">
        <f t="shared" si="78"/>
        <v>-4538995000</v>
      </c>
      <c r="CF43" s="210">
        <f t="shared" si="78"/>
        <v>7666375000</v>
      </c>
      <c r="CG43" s="210">
        <f t="shared" si="78"/>
        <v>1655000</v>
      </c>
      <c r="CH43" s="210">
        <f t="shared" si="78"/>
        <v>2055000</v>
      </c>
      <c r="CI43" s="210">
        <f t="shared" si="78"/>
        <v>-8298000000</v>
      </c>
      <c r="CJ43" s="210">
        <f t="shared" si="78"/>
        <v>6359000000</v>
      </c>
      <c r="CK43" s="210">
        <f t="shared" si="78"/>
        <v>207176436</v>
      </c>
      <c r="CL43" s="210">
        <f t="shared" si="78"/>
        <v>467263661</v>
      </c>
      <c r="CM43" s="210">
        <f t="shared" si="78"/>
        <v>-4329251182</v>
      </c>
      <c r="CN43" s="210">
        <f t="shared" si="78"/>
        <v>5949096202</v>
      </c>
      <c r="CO43" s="210">
        <f t="shared" si="78"/>
        <v>-254646421</v>
      </c>
      <c r="CP43" s="210">
        <f t="shared" si="78"/>
        <v>58029568</v>
      </c>
      <c r="CQ43" s="210">
        <f t="shared" si="78"/>
        <v>17292784</v>
      </c>
      <c r="CR43" s="210">
        <f t="shared" si="78"/>
        <v>9825954</v>
      </c>
      <c r="CS43" s="210">
        <f t="shared" si="78"/>
        <v>413124510</v>
      </c>
      <c r="CT43" s="210">
        <f t="shared" ref="CT43:CU43" si="79">+CT40+CT41-CT42</f>
        <v>272372765</v>
      </c>
      <c r="CU43" s="210">
        <f t="shared" si="79"/>
        <v>73749346</v>
      </c>
      <c r="CV43" s="210">
        <f t="shared" si="73"/>
        <v>22467351986</v>
      </c>
      <c r="CW43" s="210">
        <f t="shared" si="73"/>
        <v>-750715801583</v>
      </c>
    </row>
    <row r="44" spans="1:101" x14ac:dyDescent="0.2">
      <c r="A44" s="214" t="s">
        <v>68</v>
      </c>
      <c r="B44" s="235">
        <v>-78571000</v>
      </c>
      <c r="C44" s="235">
        <v>-132261000</v>
      </c>
      <c r="D44" s="235">
        <v>-633275000</v>
      </c>
      <c r="E44" s="235">
        <v>-343237000</v>
      </c>
      <c r="F44" s="235">
        <v>-225009000</v>
      </c>
      <c r="G44" s="235">
        <v>-286253000</v>
      </c>
      <c r="H44" s="235">
        <v>-194594000</v>
      </c>
      <c r="I44" s="235">
        <v>-88005000</v>
      </c>
      <c r="J44" s="235">
        <v>-12300293</v>
      </c>
      <c r="K44" s="235">
        <v>-22072000</v>
      </c>
      <c r="L44" s="220">
        <v>-2584395</v>
      </c>
      <c r="M44" s="220">
        <v>-2180693</v>
      </c>
      <c r="N44" s="235">
        <v>-171693000</v>
      </c>
      <c r="O44" s="235">
        <v>-444211000</v>
      </c>
      <c r="P44" s="235">
        <v>-4197678970</v>
      </c>
      <c r="Q44" s="235">
        <v>-5865055774</v>
      </c>
      <c r="R44" s="235">
        <v>-194594000</v>
      </c>
      <c r="S44" s="235">
        <v>-88005000</v>
      </c>
      <c r="T44" s="235">
        <v>-128548350</v>
      </c>
      <c r="U44" s="235">
        <v>-107000000</v>
      </c>
      <c r="V44" s="235">
        <v>-696000000</v>
      </c>
      <c r="W44" s="235">
        <v>-13164000</v>
      </c>
      <c r="X44" s="235"/>
      <c r="Y44" s="235"/>
      <c r="Z44" s="235">
        <v>-729797051</v>
      </c>
      <c r="AA44" s="213">
        <v>0</v>
      </c>
      <c r="AB44" s="213">
        <v>0</v>
      </c>
      <c r="AC44" s="235">
        <v>-871187000</v>
      </c>
      <c r="AD44" s="235">
        <v>-536968000</v>
      </c>
      <c r="AE44" s="235"/>
      <c r="AF44" s="235">
        <v>-20287000</v>
      </c>
      <c r="AG44" s="235">
        <v>-175136360</v>
      </c>
      <c r="AH44" s="235">
        <v>-323887800</v>
      </c>
      <c r="AI44" s="235">
        <v>-2865432000</v>
      </c>
      <c r="AJ44" s="235">
        <v>-1647734000</v>
      </c>
      <c r="AK44" s="235">
        <v>-492230235</v>
      </c>
      <c r="AL44" s="235">
        <v>-639675162</v>
      </c>
      <c r="AM44" s="235">
        <v>-34672000</v>
      </c>
      <c r="AN44" s="235">
        <v>-32045000</v>
      </c>
      <c r="AO44" s="235">
        <v>-169272000</v>
      </c>
      <c r="AP44" s="235">
        <v>-14450000</v>
      </c>
      <c r="AQ44" s="235">
        <v>-310568306</v>
      </c>
      <c r="AR44" s="235">
        <v>-6116419</v>
      </c>
      <c r="AS44" s="235">
        <f>-27190000-27244000</f>
        <v>-54434000</v>
      </c>
      <c r="AT44" s="235"/>
      <c r="AU44" s="235"/>
      <c r="AV44" s="235"/>
      <c r="AW44" s="235">
        <v>-42018000</v>
      </c>
      <c r="AX44" s="235">
        <v>-95590709</v>
      </c>
      <c r="AY44" s="235"/>
      <c r="AZ44" s="235"/>
      <c r="BA44" s="235">
        <v>-65022278</v>
      </c>
      <c r="BB44" s="235">
        <v>-110485579</v>
      </c>
      <c r="BC44" s="235">
        <v>-123945000</v>
      </c>
      <c r="BD44" s="235">
        <v>-210428000</v>
      </c>
      <c r="BE44" s="235"/>
      <c r="BF44" s="235"/>
      <c r="BG44" s="235">
        <v>3777000000</v>
      </c>
      <c r="BH44" s="235">
        <v>-2664000000</v>
      </c>
      <c r="BI44" s="235"/>
      <c r="BJ44" s="235">
        <v>-21099000</v>
      </c>
      <c r="BK44" s="235"/>
      <c r="BL44" s="235">
        <v>-18554290</v>
      </c>
      <c r="BM44" s="235">
        <v>-69452000</v>
      </c>
      <c r="BN44" s="235">
        <v>-172861000</v>
      </c>
      <c r="BO44" s="235">
        <v>-243446000</v>
      </c>
      <c r="BP44" s="235">
        <v>-438810000</v>
      </c>
      <c r="BQ44" s="235"/>
      <c r="BR44" s="235">
        <v>-26539</v>
      </c>
      <c r="BS44" s="235"/>
      <c r="BT44" s="235">
        <v>-5869222</v>
      </c>
      <c r="BU44" s="235">
        <v>2739312000</v>
      </c>
      <c r="BV44" s="235">
        <v>-3654396000</v>
      </c>
      <c r="BW44" s="235"/>
      <c r="BX44" s="235">
        <v>-550843</v>
      </c>
      <c r="BY44" s="235">
        <v>-100746000</v>
      </c>
      <c r="BZ44" s="235">
        <v>-114041000</v>
      </c>
      <c r="CA44" s="235">
        <v>-69871</v>
      </c>
      <c r="CB44" s="235"/>
      <c r="CC44" s="235"/>
      <c r="CD44" s="235"/>
      <c r="CE44" s="235">
        <v>2371373000</v>
      </c>
      <c r="CF44" s="235">
        <v>-289373000</v>
      </c>
      <c r="CG44" s="235"/>
      <c r="CH44" s="235"/>
      <c r="CI44" s="235">
        <v>3777000000</v>
      </c>
      <c r="CJ44" s="235">
        <v>-2664000000</v>
      </c>
      <c r="CK44" s="235">
        <v>-93039620</v>
      </c>
      <c r="CL44" s="235">
        <v>-191353314</v>
      </c>
      <c r="CM44" s="235"/>
      <c r="CN44" s="235">
        <v>-2430810000</v>
      </c>
      <c r="CO44" s="235"/>
      <c r="CP44" s="235">
        <v>-20310349</v>
      </c>
      <c r="CQ44" s="235">
        <v>-14031000</v>
      </c>
      <c r="CR44" s="235">
        <v>-5363000</v>
      </c>
      <c r="CS44" s="235">
        <v>-142904560</v>
      </c>
      <c r="CT44" s="235">
        <v>-95330468</v>
      </c>
      <c r="CU44" s="235">
        <f>-25812271</f>
        <v>-25812271</v>
      </c>
      <c r="CV44" s="209">
        <f t="shared" ref="CV44" si="80">+B44+D44+F44+H44+J44+L44+N44+P44+R44+T44+W44+Y44+AA44+AC44+AE44+AG44+AI44+AK44+AM44+AO44+AQ44+AS44+AU44+AW44+AY44+BA44+BC44+BE44+BG44+BI44+BK44+BM44+BO44+BQ44+BS44+BU44+BW44+BY44+CA44+CC44+CE44+CG44+CI44+CK44+CM44+CP44+CR44</f>
        <v>1076328973</v>
      </c>
      <c r="CW44" s="209">
        <f t="shared" ref="CW44" si="81">+C44+E44+G44+I44+K44+M44+O44+Q44+S44+U44+X44+Z44+AB44+AD44+AF44+AH44+AJ44+AL44+AN44+AP44+AR44+AT44+AV44+AX44+AZ44+BB44+BD44+BF44+BH44+BJ44+BL44+BN44+BP44+BR44+BT44+BV44+BX44+BZ44+CB44+CD44+CF44+CH44+CJ44+CL44+CN44+CQ44+CS44</f>
        <v>-24568424955</v>
      </c>
    </row>
    <row r="45" spans="1:101" s="224" customFormat="1" x14ac:dyDescent="0.2">
      <c r="A45" s="223" t="s">
        <v>69</v>
      </c>
      <c r="B45" s="210">
        <f t="shared" ref="B45:AH45" si="82">+B43+B44</f>
        <v>124741950</v>
      </c>
      <c r="C45" s="210">
        <f t="shared" si="82"/>
        <v>240556470</v>
      </c>
      <c r="D45" s="210">
        <f t="shared" si="82"/>
        <v>2766517814</v>
      </c>
      <c r="E45" s="210">
        <f t="shared" si="82"/>
        <v>-1611934804</v>
      </c>
      <c r="F45" s="210">
        <f t="shared" si="82"/>
        <v>1569355121</v>
      </c>
      <c r="G45" s="210">
        <f t="shared" si="82"/>
        <v>1203888978</v>
      </c>
      <c r="H45" s="210">
        <f t="shared" si="82"/>
        <v>87735614</v>
      </c>
      <c r="I45" s="210">
        <f t="shared" si="82"/>
        <v>51540733</v>
      </c>
      <c r="J45" s="210">
        <f t="shared" si="82"/>
        <v>16557361</v>
      </c>
      <c r="K45" s="210">
        <f t="shared" si="82"/>
        <v>24761218</v>
      </c>
      <c r="L45" s="210">
        <f t="shared" si="82"/>
        <v>619665</v>
      </c>
      <c r="M45" s="210">
        <f t="shared" si="82"/>
        <v>2233180</v>
      </c>
      <c r="N45" s="210">
        <f t="shared" si="82"/>
        <v>923179487</v>
      </c>
      <c r="O45" s="210">
        <f t="shared" si="82"/>
        <v>64186826</v>
      </c>
      <c r="P45" s="210">
        <f t="shared" si="82"/>
        <v>14211859937</v>
      </c>
      <c r="Q45" s="210">
        <f t="shared" si="82"/>
        <v>13415531726</v>
      </c>
      <c r="R45" s="210">
        <f t="shared" si="82"/>
        <v>87735614</v>
      </c>
      <c r="S45" s="210">
        <f t="shared" si="82"/>
        <v>51540733</v>
      </c>
      <c r="T45" s="210">
        <f t="shared" si="82"/>
        <v>431795987</v>
      </c>
      <c r="U45" s="210">
        <f t="shared" si="82"/>
        <v>148879721</v>
      </c>
      <c r="V45" s="210">
        <f t="shared" ref="V45" si="83">+V43+V44</f>
        <v>1186153294</v>
      </c>
      <c r="W45" s="210">
        <f t="shared" si="82"/>
        <v>24447000</v>
      </c>
      <c r="X45" s="210">
        <f t="shared" si="82"/>
        <v>53061000</v>
      </c>
      <c r="Y45" s="210">
        <f t="shared" si="82"/>
        <v>-167480496</v>
      </c>
      <c r="Z45" s="210">
        <f t="shared" si="82"/>
        <v>950580916</v>
      </c>
      <c r="AA45" s="210">
        <f t="shared" si="82"/>
        <v>0</v>
      </c>
      <c r="AB45" s="210">
        <f t="shared" si="82"/>
        <v>0</v>
      </c>
      <c r="AC45" s="210">
        <f t="shared" si="82"/>
        <v>1458691871</v>
      </c>
      <c r="AD45" s="210">
        <f t="shared" si="82"/>
        <v>482960549</v>
      </c>
      <c r="AE45" s="210">
        <f t="shared" si="82"/>
        <v>21272739</v>
      </c>
      <c r="AF45" s="210">
        <f t="shared" si="82"/>
        <v>4157627</v>
      </c>
      <c r="AG45" s="210">
        <f t="shared" si="82"/>
        <v>280186531</v>
      </c>
      <c r="AH45" s="210">
        <f t="shared" si="82"/>
        <v>490528530</v>
      </c>
      <c r="AI45" s="210">
        <f t="shared" ref="AI45:CW45" si="84">+AI43+AI44</f>
        <v>6179874000</v>
      </c>
      <c r="AJ45" s="210">
        <f t="shared" si="84"/>
        <v>-1161146000</v>
      </c>
      <c r="AK45" s="210">
        <f t="shared" si="84"/>
        <v>865902634</v>
      </c>
      <c r="AL45" s="210">
        <f t="shared" si="84"/>
        <v>454696429</v>
      </c>
      <c r="AM45" s="210">
        <f t="shared" si="84"/>
        <v>42760000</v>
      </c>
      <c r="AN45" s="210">
        <f t="shared" si="84"/>
        <v>52249000</v>
      </c>
      <c r="AO45" s="210">
        <f t="shared" si="84"/>
        <v>367043000</v>
      </c>
      <c r="AP45" s="210">
        <f t="shared" si="84"/>
        <v>-1170143000</v>
      </c>
      <c r="AQ45" s="210">
        <f t="shared" si="84"/>
        <v>397447078</v>
      </c>
      <c r="AR45" s="210">
        <f t="shared" si="84"/>
        <v>-3412751719</v>
      </c>
      <c r="AS45" s="210">
        <f t="shared" si="84"/>
        <v>7233000</v>
      </c>
      <c r="AT45" s="210">
        <f t="shared" si="84"/>
        <v>-985297650</v>
      </c>
      <c r="AU45" s="210">
        <f t="shared" si="84"/>
        <v>179569000</v>
      </c>
      <c r="AV45" s="210">
        <f t="shared" si="84"/>
        <v>181098532</v>
      </c>
      <c r="AW45" s="210">
        <f t="shared" si="84"/>
        <v>14595326</v>
      </c>
      <c r="AX45" s="210">
        <f t="shared" si="84"/>
        <v>135983206</v>
      </c>
      <c r="AY45" s="210">
        <f t="shared" si="84"/>
        <v>41052000</v>
      </c>
      <c r="AZ45" s="210">
        <f t="shared" si="84"/>
        <v>39910000</v>
      </c>
      <c r="BA45" s="210">
        <f t="shared" si="84"/>
        <v>120755659</v>
      </c>
      <c r="BB45" s="210">
        <f t="shared" si="84"/>
        <v>186714038</v>
      </c>
      <c r="BC45" s="210">
        <f t="shared" si="84"/>
        <v>111287150</v>
      </c>
      <c r="BD45" s="210">
        <f t="shared" si="84"/>
        <v>777560616</v>
      </c>
      <c r="BE45" s="210">
        <f t="shared" si="84"/>
        <v>-642040955</v>
      </c>
      <c r="BF45" s="210">
        <f t="shared" si="84"/>
        <v>-523299110</v>
      </c>
      <c r="BG45" s="210">
        <f t="shared" si="84"/>
        <v>-4521000000</v>
      </c>
      <c r="BH45" s="210">
        <f t="shared" si="84"/>
        <v>3695000000</v>
      </c>
      <c r="BI45" s="210">
        <f t="shared" si="84"/>
        <v>423122000</v>
      </c>
      <c r="BJ45" s="210">
        <f t="shared" si="84"/>
        <v>-21180000</v>
      </c>
      <c r="BK45" s="210"/>
      <c r="BL45" s="210">
        <f t="shared" ref="BL45" si="85">+BL43+BL44</f>
        <v>34452297</v>
      </c>
      <c r="BM45" s="210">
        <f t="shared" si="84"/>
        <v>16008119018</v>
      </c>
      <c r="BN45" s="210">
        <f t="shared" si="84"/>
        <v>-808731293689</v>
      </c>
      <c r="BO45" s="210">
        <f t="shared" ref="BO45:BP45" si="86">+BO43+BO44</f>
        <v>374406026</v>
      </c>
      <c r="BP45" s="210">
        <f t="shared" si="86"/>
        <v>559571220</v>
      </c>
      <c r="BQ45" s="210">
        <f t="shared" ref="BQ45:BV45" si="87">+BQ43+BQ44</f>
        <v>0</v>
      </c>
      <c r="BR45" s="210">
        <f t="shared" si="87"/>
        <v>50867</v>
      </c>
      <c r="BS45" s="210">
        <f t="shared" si="87"/>
        <v>0</v>
      </c>
      <c r="BT45" s="210">
        <f t="shared" si="87"/>
        <v>10899984</v>
      </c>
      <c r="BU45" s="210">
        <f t="shared" si="87"/>
        <v>-7774820000</v>
      </c>
      <c r="BV45" s="210">
        <f t="shared" si="87"/>
        <v>3396171000</v>
      </c>
      <c r="BW45" s="210">
        <f t="shared" ref="BW45" si="88">+BW43+BW44</f>
        <v>27652926</v>
      </c>
      <c r="BX45" s="210">
        <f t="shared" ref="BX45" si="89">+BX43+BX44</f>
        <v>10978332</v>
      </c>
      <c r="BY45" s="210">
        <f t="shared" ref="BY45" si="90">+BY43+BY44</f>
        <v>80554667</v>
      </c>
      <c r="BZ45" s="210">
        <f t="shared" ref="BZ45" si="91">+BZ43+BZ44</f>
        <v>101856477</v>
      </c>
      <c r="CA45" s="210">
        <f t="shared" ref="CA45:CS45" si="92">+CA43+CA44</f>
        <v>42487</v>
      </c>
      <c r="CB45" s="210">
        <f t="shared" si="92"/>
        <v>-27317</v>
      </c>
      <c r="CC45" s="210">
        <f t="shared" si="92"/>
        <v>262808941</v>
      </c>
      <c r="CD45" s="210">
        <f t="shared" si="92"/>
        <v>369511263</v>
      </c>
      <c r="CE45" s="210">
        <f t="shared" si="92"/>
        <v>-2167622000</v>
      </c>
      <c r="CF45" s="210">
        <f t="shared" si="92"/>
        <v>7377002000</v>
      </c>
      <c r="CG45" s="210">
        <f t="shared" si="92"/>
        <v>1655000</v>
      </c>
      <c r="CH45" s="210">
        <f t="shared" si="92"/>
        <v>2055000</v>
      </c>
      <c r="CI45" s="210">
        <f t="shared" si="92"/>
        <v>-4521000000</v>
      </c>
      <c r="CJ45" s="210">
        <f t="shared" si="92"/>
        <v>3695000000</v>
      </c>
      <c r="CK45" s="210">
        <f t="shared" si="92"/>
        <v>114136816</v>
      </c>
      <c r="CL45" s="210">
        <f t="shared" si="92"/>
        <v>275910347</v>
      </c>
      <c r="CM45" s="210">
        <f t="shared" si="92"/>
        <v>-4329251182</v>
      </c>
      <c r="CN45" s="210">
        <f t="shared" si="92"/>
        <v>3518286202</v>
      </c>
      <c r="CO45" s="210">
        <f t="shared" ref="CO45" si="93">+CO43+CO44</f>
        <v>-254646421</v>
      </c>
      <c r="CP45" s="210">
        <f t="shared" si="92"/>
        <v>37719219</v>
      </c>
      <c r="CQ45" s="210">
        <f t="shared" si="92"/>
        <v>3261784</v>
      </c>
      <c r="CR45" s="210">
        <f t="shared" si="92"/>
        <v>4462954</v>
      </c>
      <c r="CS45" s="210">
        <f t="shared" si="92"/>
        <v>270219950</v>
      </c>
      <c r="CT45" s="210">
        <f t="shared" ref="CT45:CU45" si="94">+CT43+CT44</f>
        <v>177042297</v>
      </c>
      <c r="CU45" s="210">
        <f t="shared" si="94"/>
        <v>47937075</v>
      </c>
      <c r="CV45" s="210">
        <f t="shared" si="84"/>
        <v>23543680959</v>
      </c>
      <c r="CW45" s="210">
        <f t="shared" si="84"/>
        <v>-775284226538</v>
      </c>
    </row>
    <row r="46" spans="1:101" x14ac:dyDescent="0.2">
      <c r="A46" s="214" t="s">
        <v>98</v>
      </c>
      <c r="B46" s="235"/>
      <c r="C46" s="235"/>
      <c r="D46" s="235">
        <v>-642478400</v>
      </c>
      <c r="E46" s="235">
        <v>439442663</v>
      </c>
      <c r="F46" s="235">
        <v>-184723980</v>
      </c>
      <c r="G46" s="235">
        <v>-82073558</v>
      </c>
      <c r="H46" s="235"/>
      <c r="I46" s="235"/>
      <c r="J46" s="235"/>
      <c r="K46" s="235"/>
      <c r="L46" s="220"/>
      <c r="M46" s="220"/>
      <c r="N46" s="235">
        <v>187565836</v>
      </c>
      <c r="O46" s="235">
        <v>213948953</v>
      </c>
      <c r="P46" s="235">
        <v>-1817874824</v>
      </c>
      <c r="Q46" s="235"/>
      <c r="R46" s="235"/>
      <c r="S46" s="235"/>
      <c r="T46" s="235"/>
      <c r="U46" s="235"/>
      <c r="V46" s="235"/>
      <c r="W46" s="235"/>
      <c r="X46" s="235"/>
      <c r="Y46" s="235"/>
      <c r="Z46" s="235"/>
      <c r="AA46" s="213">
        <v>0</v>
      </c>
      <c r="AB46" s="213">
        <v>0</v>
      </c>
      <c r="AC46" s="235"/>
      <c r="AD46" s="235"/>
      <c r="AE46" s="235"/>
      <c r="AF46" s="235"/>
      <c r="AG46" s="235"/>
      <c r="AH46" s="235"/>
      <c r="AI46" s="235">
        <v>152858000</v>
      </c>
      <c r="AJ46" s="235">
        <v>-76384000</v>
      </c>
      <c r="AK46" s="235">
        <v>-167480496</v>
      </c>
      <c r="AL46" s="235">
        <v>950580916</v>
      </c>
      <c r="AM46" s="235"/>
      <c r="AN46" s="235"/>
      <c r="AO46" s="235">
        <v>3030000</v>
      </c>
      <c r="AP46" s="235">
        <v>8207000</v>
      </c>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v>7620777000</v>
      </c>
      <c r="CF46" s="235">
        <v>-17289218000</v>
      </c>
      <c r="CG46" s="235"/>
      <c r="CH46" s="235"/>
      <c r="CI46" s="235"/>
      <c r="CJ46" s="235"/>
      <c r="CK46" s="235"/>
      <c r="CL46" s="235"/>
      <c r="CM46" s="235"/>
      <c r="CN46" s="235"/>
      <c r="CO46" s="235"/>
      <c r="CP46" s="235"/>
      <c r="CQ46" s="235"/>
      <c r="CR46" s="235"/>
      <c r="CS46" s="235"/>
      <c r="CT46" s="235"/>
      <c r="CU46" s="235"/>
      <c r="CV46" s="209">
        <f t="shared" ref="CV46" si="95">+B46+D46+F46+H46+J46+L46+N46+P46+R46+T46+W46+Y46+AA46+AC46+AE46+AG46+AI46+AK46+AM46+AO46+AQ46+AS46+AU46+AW46+AY46+BA46+BC46+BE46+BG46+BI46+BK46+BM46+BO46+BQ46+BS46+BU46+BW46+BY46+CA46+CC46+CE46+CG46+CI46+CK46+CM46+CP46+CR46</f>
        <v>5151673136</v>
      </c>
      <c r="CW46" s="209">
        <f t="shared" ref="CW46" si="96">+C46+E46+G46+I46+K46+M46+O46+Q46+S46+U46+X46+Z46+AB46+AD46+AF46+AH46+AJ46+AL46+AN46+AP46+AR46+AT46+AV46+AX46+AZ46+BB46+BD46+BF46+BH46+BJ46+BL46+BN46+BP46+BR46+BT46+BV46+BX46+BZ46+CB46+CD46+CF46+CH46+CJ46+CL46+CN46+CQ46+CS46</f>
        <v>-15835496026</v>
      </c>
    </row>
    <row r="47" spans="1:101" s="224" customFormat="1" x14ac:dyDescent="0.2">
      <c r="A47" s="223" t="s">
        <v>183</v>
      </c>
      <c r="B47" s="210">
        <f t="shared" ref="B47:AH47" si="97">+B45+B46</f>
        <v>124741950</v>
      </c>
      <c r="C47" s="210">
        <f t="shared" si="97"/>
        <v>240556470</v>
      </c>
      <c r="D47" s="210">
        <f t="shared" si="97"/>
        <v>2124039414</v>
      </c>
      <c r="E47" s="210">
        <f t="shared" si="97"/>
        <v>-1172492141</v>
      </c>
      <c r="F47" s="210">
        <f t="shared" si="97"/>
        <v>1384631141</v>
      </c>
      <c r="G47" s="210">
        <f t="shared" si="97"/>
        <v>1121815420</v>
      </c>
      <c r="H47" s="210">
        <f t="shared" si="97"/>
        <v>87735614</v>
      </c>
      <c r="I47" s="210">
        <f t="shared" si="97"/>
        <v>51540733</v>
      </c>
      <c r="J47" s="210">
        <f t="shared" si="97"/>
        <v>16557361</v>
      </c>
      <c r="K47" s="210">
        <f t="shared" si="97"/>
        <v>24761218</v>
      </c>
      <c r="L47" s="210">
        <f t="shared" si="97"/>
        <v>619665</v>
      </c>
      <c r="M47" s="210">
        <f t="shared" si="97"/>
        <v>2233180</v>
      </c>
      <c r="N47" s="210">
        <f t="shared" si="97"/>
        <v>1110745323</v>
      </c>
      <c r="O47" s="210">
        <f t="shared" si="97"/>
        <v>278135779</v>
      </c>
      <c r="P47" s="210">
        <f t="shared" si="97"/>
        <v>12393985113</v>
      </c>
      <c r="Q47" s="210">
        <f t="shared" si="97"/>
        <v>13415531726</v>
      </c>
      <c r="R47" s="210">
        <f t="shared" si="97"/>
        <v>87735614</v>
      </c>
      <c r="S47" s="210">
        <f t="shared" si="97"/>
        <v>51540733</v>
      </c>
      <c r="T47" s="210">
        <f t="shared" si="97"/>
        <v>431795987</v>
      </c>
      <c r="U47" s="210">
        <f t="shared" si="97"/>
        <v>148879721</v>
      </c>
      <c r="V47" s="210">
        <f t="shared" ref="V47" si="98">+V45+V46</f>
        <v>1186153294</v>
      </c>
      <c r="W47" s="210">
        <f t="shared" si="97"/>
        <v>24447000</v>
      </c>
      <c r="X47" s="210">
        <f t="shared" si="97"/>
        <v>53061000</v>
      </c>
      <c r="Y47" s="210">
        <f t="shared" si="97"/>
        <v>-167480496</v>
      </c>
      <c r="Z47" s="210">
        <f t="shared" si="97"/>
        <v>950580916</v>
      </c>
      <c r="AA47" s="210">
        <f t="shared" si="97"/>
        <v>0</v>
      </c>
      <c r="AB47" s="210">
        <f t="shared" si="97"/>
        <v>0</v>
      </c>
      <c r="AC47" s="210">
        <f t="shared" si="97"/>
        <v>1458691871</v>
      </c>
      <c r="AD47" s="210">
        <f t="shared" si="97"/>
        <v>482960549</v>
      </c>
      <c r="AE47" s="210">
        <f t="shared" si="97"/>
        <v>21272739</v>
      </c>
      <c r="AF47" s="210">
        <f t="shared" si="97"/>
        <v>4157627</v>
      </c>
      <c r="AG47" s="210">
        <f t="shared" si="97"/>
        <v>280186531</v>
      </c>
      <c r="AH47" s="210">
        <f t="shared" si="97"/>
        <v>490528530</v>
      </c>
      <c r="AI47" s="210">
        <f t="shared" ref="AI47:BP47" si="99">+AI45+AI46</f>
        <v>6332732000</v>
      </c>
      <c r="AJ47" s="210">
        <f t="shared" si="99"/>
        <v>-1237530000</v>
      </c>
      <c r="AK47" s="210">
        <f t="shared" si="99"/>
        <v>698422138</v>
      </c>
      <c r="AL47" s="210">
        <f t="shared" si="99"/>
        <v>1405277345</v>
      </c>
      <c r="AM47" s="210">
        <f t="shared" si="99"/>
        <v>42760000</v>
      </c>
      <c r="AN47" s="210">
        <f t="shared" si="99"/>
        <v>52249000</v>
      </c>
      <c r="AO47" s="210">
        <f t="shared" si="99"/>
        <v>370073000</v>
      </c>
      <c r="AP47" s="210">
        <f t="shared" si="99"/>
        <v>-1161936000</v>
      </c>
      <c r="AQ47" s="210">
        <f t="shared" si="99"/>
        <v>397447078</v>
      </c>
      <c r="AR47" s="210">
        <f t="shared" si="99"/>
        <v>-3412751719</v>
      </c>
      <c r="AS47" s="210">
        <f t="shared" si="99"/>
        <v>7233000</v>
      </c>
      <c r="AT47" s="210">
        <f t="shared" si="99"/>
        <v>-985297650</v>
      </c>
      <c r="AU47" s="210">
        <f t="shared" si="99"/>
        <v>179569000</v>
      </c>
      <c r="AV47" s="210">
        <f t="shared" si="99"/>
        <v>181098532</v>
      </c>
      <c r="AW47" s="210">
        <f t="shared" si="99"/>
        <v>14595326</v>
      </c>
      <c r="AX47" s="210">
        <f t="shared" si="99"/>
        <v>135983206</v>
      </c>
      <c r="AY47" s="210">
        <f t="shared" si="99"/>
        <v>41052000</v>
      </c>
      <c r="AZ47" s="210">
        <f t="shared" si="99"/>
        <v>39910000</v>
      </c>
      <c r="BA47" s="210">
        <f t="shared" si="99"/>
        <v>120755659</v>
      </c>
      <c r="BB47" s="210">
        <f t="shared" si="99"/>
        <v>186714038</v>
      </c>
      <c r="BC47" s="210">
        <f t="shared" si="99"/>
        <v>111287150</v>
      </c>
      <c r="BD47" s="210">
        <f t="shared" si="99"/>
        <v>777560616</v>
      </c>
      <c r="BE47" s="210">
        <f t="shared" si="99"/>
        <v>-642040955</v>
      </c>
      <c r="BF47" s="210">
        <f t="shared" si="99"/>
        <v>-523299110</v>
      </c>
      <c r="BG47" s="210">
        <f t="shared" si="99"/>
        <v>-4521000000</v>
      </c>
      <c r="BH47" s="210">
        <f t="shared" si="99"/>
        <v>3695000000</v>
      </c>
      <c r="BI47" s="210">
        <f t="shared" si="99"/>
        <v>423122000</v>
      </c>
      <c r="BJ47" s="210">
        <f t="shared" si="99"/>
        <v>-21180000</v>
      </c>
      <c r="BK47" s="210">
        <f t="shared" si="99"/>
        <v>0</v>
      </c>
      <c r="BL47" s="210">
        <f t="shared" si="99"/>
        <v>34452297</v>
      </c>
      <c r="BM47" s="210">
        <f t="shared" si="99"/>
        <v>16008119018</v>
      </c>
      <c r="BN47" s="210">
        <f t="shared" si="99"/>
        <v>-808731293689</v>
      </c>
      <c r="BO47" s="210">
        <f t="shared" si="99"/>
        <v>374406026</v>
      </c>
      <c r="BP47" s="210">
        <f t="shared" si="99"/>
        <v>559571220</v>
      </c>
      <c r="BQ47" s="210">
        <f t="shared" ref="BQ47:CW47" si="100">+BQ45+BQ46</f>
        <v>0</v>
      </c>
      <c r="BR47" s="210">
        <f t="shared" si="100"/>
        <v>50867</v>
      </c>
      <c r="BS47" s="210">
        <f t="shared" si="100"/>
        <v>0</v>
      </c>
      <c r="BT47" s="210">
        <f t="shared" si="100"/>
        <v>10899984</v>
      </c>
      <c r="BU47" s="210">
        <f t="shared" si="100"/>
        <v>-7774820000</v>
      </c>
      <c r="BV47" s="210">
        <f t="shared" si="100"/>
        <v>3396171000</v>
      </c>
      <c r="BW47" s="210">
        <f t="shared" ref="BW47" si="101">+BW45+BW46</f>
        <v>27652926</v>
      </c>
      <c r="BX47" s="210">
        <f t="shared" ref="BX47" si="102">+BX45+BX46</f>
        <v>10978332</v>
      </c>
      <c r="BY47" s="210">
        <f t="shared" ref="BY47" si="103">+BY45+BY46</f>
        <v>80554667</v>
      </c>
      <c r="BZ47" s="210">
        <f t="shared" ref="BZ47" si="104">+BZ45+BZ46</f>
        <v>101856477</v>
      </c>
      <c r="CA47" s="210">
        <f t="shared" ref="CA47:CS47" si="105">+CA45+CA46</f>
        <v>42487</v>
      </c>
      <c r="CB47" s="210">
        <f t="shared" si="105"/>
        <v>-27317</v>
      </c>
      <c r="CC47" s="210">
        <f t="shared" si="105"/>
        <v>262808941</v>
      </c>
      <c r="CD47" s="210">
        <f t="shared" si="105"/>
        <v>369511263</v>
      </c>
      <c r="CE47" s="210">
        <f t="shared" si="105"/>
        <v>5453155000</v>
      </c>
      <c r="CF47" s="210">
        <f t="shared" si="105"/>
        <v>-9912216000</v>
      </c>
      <c r="CG47" s="210">
        <f t="shared" si="105"/>
        <v>1655000</v>
      </c>
      <c r="CH47" s="210">
        <f t="shared" si="105"/>
        <v>2055000</v>
      </c>
      <c r="CI47" s="210">
        <f t="shared" si="105"/>
        <v>-4521000000</v>
      </c>
      <c r="CJ47" s="210">
        <f t="shared" si="105"/>
        <v>3695000000</v>
      </c>
      <c r="CK47" s="210">
        <f t="shared" si="105"/>
        <v>114136816</v>
      </c>
      <c r="CL47" s="210">
        <f t="shared" si="105"/>
        <v>275910347</v>
      </c>
      <c r="CM47" s="210">
        <f t="shared" si="105"/>
        <v>-4329251182</v>
      </c>
      <c r="CN47" s="210">
        <f t="shared" si="105"/>
        <v>3518286202</v>
      </c>
      <c r="CO47" s="210">
        <f t="shared" ref="CO47" si="106">+CO45+CO46</f>
        <v>-254646421</v>
      </c>
      <c r="CP47" s="210">
        <f t="shared" si="105"/>
        <v>37719219</v>
      </c>
      <c r="CQ47" s="210">
        <f t="shared" si="105"/>
        <v>3261784</v>
      </c>
      <c r="CR47" s="210">
        <f t="shared" si="105"/>
        <v>4462954</v>
      </c>
      <c r="CS47" s="210">
        <f t="shared" si="105"/>
        <v>270219950</v>
      </c>
      <c r="CT47" s="210">
        <f t="shared" ref="CT47:CU47" si="107">+CT45+CT46</f>
        <v>177042297</v>
      </c>
      <c r="CU47" s="210">
        <f t="shared" si="107"/>
        <v>47937075</v>
      </c>
      <c r="CV47" s="210">
        <f t="shared" si="100"/>
        <v>28695354095</v>
      </c>
      <c r="CW47" s="210">
        <f t="shared" si="100"/>
        <v>-791119722564</v>
      </c>
    </row>
    <row r="48" spans="1:101" s="216" customFormat="1" x14ac:dyDescent="0.2">
      <c r="A48" s="238"/>
      <c r="B48" s="240"/>
      <c r="C48" s="240"/>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38"/>
      <c r="BV48" s="238"/>
      <c r="BW48" s="238"/>
      <c r="BX48" s="238"/>
      <c r="BY48" s="238"/>
      <c r="BZ48" s="238"/>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row>
    <row r="49" spans="1:101" s="216" customFormat="1" x14ac:dyDescent="0.2">
      <c r="A49" s="238" t="s">
        <v>99</v>
      </c>
      <c r="B49" s="241">
        <f t="shared" ref="B49:AH49" si="108">+B12-B33</f>
        <v>0</v>
      </c>
      <c r="C49" s="241">
        <f t="shared" si="108"/>
        <v>0</v>
      </c>
      <c r="D49" s="241">
        <f t="shared" si="108"/>
        <v>0</v>
      </c>
      <c r="E49" s="241">
        <f t="shared" si="108"/>
        <v>0</v>
      </c>
      <c r="F49" s="241">
        <f t="shared" si="108"/>
        <v>0</v>
      </c>
      <c r="G49" s="241">
        <f t="shared" si="108"/>
        <v>0</v>
      </c>
      <c r="H49" s="241">
        <f t="shared" si="108"/>
        <v>0</v>
      </c>
      <c r="I49" s="241">
        <f t="shared" si="108"/>
        <v>0</v>
      </c>
      <c r="J49" s="241">
        <f t="shared" si="108"/>
        <v>0</v>
      </c>
      <c r="K49" s="241">
        <f t="shared" si="108"/>
        <v>0</v>
      </c>
      <c r="L49" s="241">
        <f t="shared" si="108"/>
        <v>0</v>
      </c>
      <c r="M49" s="241">
        <f t="shared" si="108"/>
        <v>0</v>
      </c>
      <c r="N49" s="241">
        <f t="shared" si="108"/>
        <v>0</v>
      </c>
      <c r="O49" s="241">
        <f t="shared" si="108"/>
        <v>0</v>
      </c>
      <c r="P49" s="241">
        <f t="shared" si="108"/>
        <v>0</v>
      </c>
      <c r="Q49" s="241">
        <f t="shared" si="108"/>
        <v>0</v>
      </c>
      <c r="R49" s="241">
        <f t="shared" si="108"/>
        <v>0</v>
      </c>
      <c r="S49" s="241">
        <f t="shared" si="108"/>
        <v>0</v>
      </c>
      <c r="T49" s="241">
        <f t="shared" si="108"/>
        <v>0</v>
      </c>
      <c r="U49" s="241">
        <f t="shared" si="108"/>
        <v>0</v>
      </c>
      <c r="V49" s="241">
        <f t="shared" si="108"/>
        <v>0</v>
      </c>
      <c r="W49" s="241">
        <f t="shared" si="108"/>
        <v>0</v>
      </c>
      <c r="X49" s="241">
        <f t="shared" si="108"/>
        <v>0</v>
      </c>
      <c r="Y49" s="241">
        <f t="shared" si="108"/>
        <v>0</v>
      </c>
      <c r="Z49" s="241">
        <f t="shared" si="108"/>
        <v>0</v>
      </c>
      <c r="AA49" s="241">
        <f t="shared" si="108"/>
        <v>0</v>
      </c>
      <c r="AB49" s="241">
        <f t="shared" si="108"/>
        <v>0</v>
      </c>
      <c r="AC49" s="241">
        <f t="shared" si="108"/>
        <v>0</v>
      </c>
      <c r="AD49" s="241">
        <f t="shared" si="108"/>
        <v>0</v>
      </c>
      <c r="AE49" s="241">
        <f t="shared" si="108"/>
        <v>0</v>
      </c>
      <c r="AF49" s="241">
        <f t="shared" si="108"/>
        <v>0</v>
      </c>
      <c r="AG49" s="241">
        <f t="shared" si="108"/>
        <v>0</v>
      </c>
      <c r="AH49" s="241">
        <f t="shared" si="108"/>
        <v>0</v>
      </c>
      <c r="AI49" s="241">
        <f t="shared" ref="AI49:CV49" si="109">+AI12-AI33</f>
        <v>0</v>
      </c>
      <c r="AJ49" s="241">
        <f t="shared" si="109"/>
        <v>0</v>
      </c>
      <c r="AK49" s="241">
        <f t="shared" si="109"/>
        <v>0</v>
      </c>
      <c r="AL49" s="241">
        <f t="shared" si="109"/>
        <v>0</v>
      </c>
      <c r="AM49" s="241">
        <f t="shared" si="109"/>
        <v>0</v>
      </c>
      <c r="AN49" s="241">
        <f t="shared" si="109"/>
        <v>0</v>
      </c>
      <c r="AO49" s="241">
        <f t="shared" si="109"/>
        <v>0</v>
      </c>
      <c r="AP49" s="241">
        <f t="shared" si="109"/>
        <v>0</v>
      </c>
      <c r="AQ49" s="241">
        <f t="shared" si="109"/>
        <v>0</v>
      </c>
      <c r="AR49" s="241">
        <f t="shared" si="109"/>
        <v>0</v>
      </c>
      <c r="AS49" s="241">
        <f t="shared" si="109"/>
        <v>0</v>
      </c>
      <c r="AT49" s="241">
        <f t="shared" si="109"/>
        <v>0</v>
      </c>
      <c r="AU49" s="241">
        <f t="shared" si="109"/>
        <v>0</v>
      </c>
      <c r="AV49" s="241">
        <f t="shared" si="109"/>
        <v>0</v>
      </c>
      <c r="AW49" s="241">
        <f t="shared" si="109"/>
        <v>0</v>
      </c>
      <c r="AX49" s="241">
        <f t="shared" si="109"/>
        <v>0</v>
      </c>
      <c r="AY49" s="241">
        <f t="shared" si="109"/>
        <v>0</v>
      </c>
      <c r="AZ49" s="241">
        <f t="shared" si="109"/>
        <v>0</v>
      </c>
      <c r="BA49" s="241">
        <f t="shared" si="109"/>
        <v>0</v>
      </c>
      <c r="BB49" s="241">
        <f t="shared" si="109"/>
        <v>0</v>
      </c>
      <c r="BC49" s="241">
        <f t="shared" si="109"/>
        <v>0</v>
      </c>
      <c r="BD49" s="241">
        <f t="shared" si="109"/>
        <v>0</v>
      </c>
      <c r="BE49" s="241">
        <f t="shared" si="109"/>
        <v>0</v>
      </c>
      <c r="BF49" s="241">
        <f t="shared" si="109"/>
        <v>0</v>
      </c>
      <c r="BG49" s="241">
        <f t="shared" si="109"/>
        <v>0</v>
      </c>
      <c r="BH49" s="241">
        <f t="shared" si="109"/>
        <v>0</v>
      </c>
      <c r="BI49" s="241">
        <f t="shared" si="109"/>
        <v>0</v>
      </c>
      <c r="BJ49" s="241">
        <f t="shared" si="109"/>
        <v>0</v>
      </c>
      <c r="BK49" s="241"/>
      <c r="BL49" s="241">
        <f t="shared" ref="BL49" si="110">+BL12-BL33</f>
        <v>0</v>
      </c>
      <c r="BM49" s="241">
        <f t="shared" si="109"/>
        <v>0</v>
      </c>
      <c r="BN49" s="241">
        <f t="shared" si="109"/>
        <v>0</v>
      </c>
      <c r="BO49" s="241">
        <f t="shared" ref="BO49:BP49" si="111">+BO12-BO33</f>
        <v>0</v>
      </c>
      <c r="BP49" s="241">
        <f t="shared" si="111"/>
        <v>0</v>
      </c>
      <c r="BQ49" s="241">
        <f t="shared" ref="BQ49:BV49" si="112">+BQ12-BQ33</f>
        <v>0</v>
      </c>
      <c r="BR49" s="241">
        <f t="shared" si="112"/>
        <v>0</v>
      </c>
      <c r="BS49" s="241">
        <f t="shared" si="112"/>
        <v>0</v>
      </c>
      <c r="BT49" s="241">
        <f t="shared" si="112"/>
        <v>0</v>
      </c>
      <c r="BU49" s="241">
        <f t="shared" si="112"/>
        <v>0</v>
      </c>
      <c r="BV49" s="241">
        <f t="shared" si="112"/>
        <v>0</v>
      </c>
      <c r="BW49" s="241">
        <f t="shared" ref="BW49:BX49" si="113">+BW12-BW33</f>
        <v>0</v>
      </c>
      <c r="BX49" s="241">
        <f t="shared" si="113"/>
        <v>0</v>
      </c>
      <c r="BY49" s="241">
        <f t="shared" ref="BY49:BZ49" si="114">+BY12-BY33</f>
        <v>0</v>
      </c>
      <c r="BZ49" s="241">
        <f t="shared" si="114"/>
        <v>0</v>
      </c>
      <c r="CA49" s="241">
        <f t="shared" ref="CA49:CS49" si="115">+CA12-CA33</f>
        <v>0</v>
      </c>
      <c r="CB49" s="241">
        <f t="shared" si="115"/>
        <v>0</v>
      </c>
      <c r="CC49" s="241">
        <f t="shared" si="115"/>
        <v>0</v>
      </c>
      <c r="CD49" s="241">
        <f t="shared" si="115"/>
        <v>0</v>
      </c>
      <c r="CE49" s="241">
        <f t="shared" si="115"/>
        <v>0</v>
      </c>
      <c r="CF49" s="241">
        <f t="shared" si="115"/>
        <v>0</v>
      </c>
      <c r="CG49" s="241">
        <f t="shared" si="115"/>
        <v>0</v>
      </c>
      <c r="CH49" s="241">
        <f t="shared" si="115"/>
        <v>0</v>
      </c>
      <c r="CI49" s="241">
        <f t="shared" si="115"/>
        <v>0</v>
      </c>
      <c r="CJ49" s="241">
        <f t="shared" si="115"/>
        <v>0</v>
      </c>
      <c r="CK49" s="241">
        <f t="shared" si="115"/>
        <v>0</v>
      </c>
      <c r="CL49" s="241">
        <f t="shared" si="115"/>
        <v>0</v>
      </c>
      <c r="CM49" s="241">
        <f t="shared" si="115"/>
        <v>0</v>
      </c>
      <c r="CN49" s="241">
        <f t="shared" si="115"/>
        <v>0</v>
      </c>
      <c r="CO49" s="241">
        <f t="shared" si="115"/>
        <v>0</v>
      </c>
      <c r="CP49" s="241">
        <f t="shared" si="115"/>
        <v>0</v>
      </c>
      <c r="CQ49" s="241">
        <f t="shared" si="115"/>
        <v>0</v>
      </c>
      <c r="CR49" s="241">
        <f t="shared" si="115"/>
        <v>0</v>
      </c>
      <c r="CS49" s="241">
        <f t="shared" si="115"/>
        <v>0</v>
      </c>
      <c r="CT49" s="241">
        <f t="shared" ref="CT49:CU49" si="116">+CT12-CT33</f>
        <v>0</v>
      </c>
      <c r="CU49" s="241">
        <f t="shared" si="116"/>
        <v>0</v>
      </c>
      <c r="CV49" s="241">
        <f t="shared" si="109"/>
        <v>0</v>
      </c>
      <c r="CW49" s="241">
        <f>+CW12-CW33</f>
        <v>0</v>
      </c>
    </row>
    <row r="50" spans="1:101" s="216" customFormat="1" x14ac:dyDescent="0.2">
      <c r="A50" s="238" t="s">
        <v>100</v>
      </c>
      <c r="B50" s="241">
        <v>124741950</v>
      </c>
      <c r="C50" s="241">
        <v>240556470</v>
      </c>
      <c r="D50" s="241">
        <v>2124039414</v>
      </c>
      <c r="E50" s="241">
        <v>-1172492141</v>
      </c>
      <c r="F50" s="241">
        <v>1384631141</v>
      </c>
      <c r="G50" s="241">
        <v>1121815420</v>
      </c>
      <c r="H50" s="241">
        <v>87735614</v>
      </c>
      <c r="I50" s="241">
        <v>51540733</v>
      </c>
      <c r="J50" s="241">
        <v>16557361</v>
      </c>
      <c r="K50" s="241">
        <v>24761218</v>
      </c>
      <c r="L50" s="241">
        <v>619665</v>
      </c>
      <c r="M50" s="241">
        <v>2233180</v>
      </c>
      <c r="N50" s="241">
        <v>1110745323</v>
      </c>
      <c r="O50" s="241">
        <v>278135779</v>
      </c>
      <c r="P50" s="241">
        <v>12393985113</v>
      </c>
      <c r="Q50" s="241">
        <v>13415531726</v>
      </c>
      <c r="R50" s="241">
        <v>87735614</v>
      </c>
      <c r="S50" s="241">
        <v>51540733</v>
      </c>
      <c r="T50" s="241">
        <v>431795987</v>
      </c>
      <c r="U50" s="241">
        <v>148879721</v>
      </c>
      <c r="V50" s="241">
        <v>1186153294</v>
      </c>
      <c r="W50" s="241">
        <v>24447000</v>
      </c>
      <c r="X50" s="241">
        <v>53061000</v>
      </c>
      <c r="Y50" s="241">
        <v>-167480496</v>
      </c>
      <c r="Z50" s="241">
        <v>950580916</v>
      </c>
      <c r="AA50" s="241">
        <v>0</v>
      </c>
      <c r="AB50" s="241">
        <v>0</v>
      </c>
      <c r="AC50" s="241">
        <v>1458691871</v>
      </c>
      <c r="AD50" s="241">
        <v>482960549</v>
      </c>
      <c r="AE50" s="241">
        <v>21272739</v>
      </c>
      <c r="AF50" s="241">
        <v>4157627</v>
      </c>
      <c r="AG50" s="241">
        <v>280186531</v>
      </c>
      <c r="AH50" s="241">
        <v>490528530</v>
      </c>
      <c r="AI50" s="241">
        <v>6332732000</v>
      </c>
      <c r="AJ50" s="241">
        <v>-1237530000</v>
      </c>
      <c r="AK50" s="241">
        <v>698422138</v>
      </c>
      <c r="AL50" s="241">
        <v>1405277345</v>
      </c>
      <c r="AM50" s="241">
        <v>42760000</v>
      </c>
      <c r="AN50" s="241">
        <v>52249000</v>
      </c>
      <c r="AO50" s="241">
        <v>367043000</v>
      </c>
      <c r="AP50" s="241">
        <v>-1170143000</v>
      </c>
      <c r="AQ50" s="241">
        <v>397447078</v>
      </c>
      <c r="AR50" s="241">
        <v>-3412751719</v>
      </c>
      <c r="AS50" s="241">
        <v>7233000</v>
      </c>
      <c r="AT50" s="241">
        <v>-985297650</v>
      </c>
      <c r="AU50" s="241">
        <v>179569000</v>
      </c>
      <c r="AV50" s="241">
        <v>181098532</v>
      </c>
      <c r="AW50" s="241">
        <v>14595326</v>
      </c>
      <c r="AX50" s="241">
        <v>135983206</v>
      </c>
      <c r="AY50" s="241">
        <v>41052000</v>
      </c>
      <c r="AZ50" s="241">
        <v>39910000</v>
      </c>
      <c r="BA50" s="241">
        <v>120755659</v>
      </c>
      <c r="BB50" s="241">
        <v>186714038</v>
      </c>
      <c r="BC50" s="241">
        <v>111287150</v>
      </c>
      <c r="BD50" s="241">
        <v>777560616</v>
      </c>
      <c r="BE50" s="241">
        <v>-642040955</v>
      </c>
      <c r="BF50" s="241">
        <v>-523299110</v>
      </c>
      <c r="BG50" s="241">
        <v>-4521000000</v>
      </c>
      <c r="BH50" s="241">
        <v>3695000000</v>
      </c>
      <c r="BI50" s="241">
        <v>423122000</v>
      </c>
      <c r="BJ50" s="241">
        <v>-21180000</v>
      </c>
      <c r="BK50" s="241"/>
      <c r="BL50" s="241">
        <v>34452297</v>
      </c>
      <c r="BM50" s="241">
        <v>913237101800004</v>
      </c>
      <c r="BN50" s="241">
        <v>28876586453</v>
      </c>
      <c r="BO50" s="241">
        <v>374406026</v>
      </c>
      <c r="BP50" s="241">
        <v>559571220</v>
      </c>
      <c r="BQ50" s="241"/>
      <c r="BR50" s="241">
        <v>50867</v>
      </c>
      <c r="BS50" s="241"/>
      <c r="BT50" s="241">
        <v>10899984</v>
      </c>
      <c r="BU50" s="241">
        <v>-7774820000</v>
      </c>
      <c r="BV50" s="241">
        <v>3396171000</v>
      </c>
      <c r="BW50" s="241">
        <v>27652926</v>
      </c>
      <c r="BX50" s="241">
        <v>10978332</v>
      </c>
      <c r="BY50" s="241">
        <v>80554667</v>
      </c>
      <c r="BZ50" s="241">
        <v>101856477</v>
      </c>
      <c r="CA50" s="241">
        <v>42487</v>
      </c>
      <c r="CB50" s="241">
        <v>-27317</v>
      </c>
      <c r="CC50" s="241">
        <v>262808941</v>
      </c>
      <c r="CD50" s="241">
        <v>369511263</v>
      </c>
      <c r="CE50" s="241">
        <v>-2167622000</v>
      </c>
      <c r="CF50" s="241">
        <v>7377002000</v>
      </c>
      <c r="CG50" s="241">
        <v>1655000</v>
      </c>
      <c r="CH50" s="241">
        <v>2055000</v>
      </c>
      <c r="CI50" s="241">
        <v>-4521000000</v>
      </c>
      <c r="CJ50" s="241">
        <v>3695000000</v>
      </c>
      <c r="CK50" s="241">
        <v>114136816</v>
      </c>
      <c r="CL50" s="241">
        <v>275910347</v>
      </c>
      <c r="CM50" s="241">
        <v>-4329251182</v>
      </c>
      <c r="CN50" s="241">
        <v>3518286202</v>
      </c>
      <c r="CO50" s="241">
        <v>-254646421</v>
      </c>
      <c r="CP50" s="241">
        <v>37719219</v>
      </c>
      <c r="CQ50" s="241">
        <v>3261784</v>
      </c>
      <c r="CR50" s="241">
        <v>4462954</v>
      </c>
      <c r="CS50" s="241">
        <v>270219950</v>
      </c>
      <c r="CT50" s="241">
        <v>177042297</v>
      </c>
      <c r="CU50" s="241">
        <v>47937075</v>
      </c>
      <c r="CV50" s="241">
        <v>23543680959</v>
      </c>
      <c r="CW50" s="241">
        <v>-775284226538</v>
      </c>
    </row>
    <row r="51" spans="1:101" s="216" customFormat="1" x14ac:dyDescent="0.2">
      <c r="A51" s="238" t="s">
        <v>101</v>
      </c>
      <c r="B51" s="241">
        <f>+B45-B50</f>
        <v>0</v>
      </c>
      <c r="C51" s="241">
        <f>+C45-C50</f>
        <v>0</v>
      </c>
      <c r="D51" s="241">
        <f>+D47-D50</f>
        <v>0</v>
      </c>
      <c r="E51" s="241">
        <f>+E47-E50</f>
        <v>0</v>
      </c>
      <c r="F51" s="241">
        <f>+F47-F50</f>
        <v>0</v>
      </c>
      <c r="G51" s="241">
        <f>+G47-G50</f>
        <v>0</v>
      </c>
      <c r="H51" s="241">
        <f t="shared" ref="H51:M51" si="117">+H45-H50</f>
        <v>0</v>
      </c>
      <c r="I51" s="241">
        <f t="shared" si="117"/>
        <v>0</v>
      </c>
      <c r="J51" s="241">
        <f t="shared" si="117"/>
        <v>0</v>
      </c>
      <c r="K51" s="241">
        <f t="shared" si="117"/>
        <v>0</v>
      </c>
      <c r="L51" s="241">
        <f t="shared" si="117"/>
        <v>0</v>
      </c>
      <c r="M51" s="241">
        <f t="shared" si="117"/>
        <v>0</v>
      </c>
      <c r="N51" s="241">
        <f>+N47-N50</f>
        <v>0</v>
      </c>
      <c r="O51" s="241">
        <f>+O47-O50</f>
        <v>0</v>
      </c>
      <c r="P51" s="241">
        <f>+P47-P50</f>
        <v>0</v>
      </c>
      <c r="Q51" s="241">
        <f>+Q47-Q50</f>
        <v>0</v>
      </c>
      <c r="R51" s="241">
        <f t="shared" ref="R51:AH51" si="118">+R45-R50</f>
        <v>0</v>
      </c>
      <c r="S51" s="241">
        <f t="shared" si="118"/>
        <v>0</v>
      </c>
      <c r="T51" s="241">
        <f t="shared" si="118"/>
        <v>0</v>
      </c>
      <c r="U51" s="241">
        <f t="shared" si="118"/>
        <v>0</v>
      </c>
      <c r="V51" s="241">
        <f t="shared" si="118"/>
        <v>0</v>
      </c>
      <c r="W51" s="241">
        <f t="shared" si="118"/>
        <v>0</v>
      </c>
      <c r="X51" s="241">
        <f t="shared" si="118"/>
        <v>0</v>
      </c>
      <c r="Y51" s="241">
        <f t="shared" si="118"/>
        <v>0</v>
      </c>
      <c r="Z51" s="241">
        <f t="shared" si="118"/>
        <v>0</v>
      </c>
      <c r="AA51" s="241">
        <f t="shared" si="118"/>
        <v>0</v>
      </c>
      <c r="AB51" s="241">
        <f t="shared" si="118"/>
        <v>0</v>
      </c>
      <c r="AC51" s="241">
        <f t="shared" si="118"/>
        <v>0</v>
      </c>
      <c r="AD51" s="241">
        <f t="shared" si="118"/>
        <v>0</v>
      </c>
      <c r="AE51" s="241">
        <f t="shared" si="118"/>
        <v>0</v>
      </c>
      <c r="AF51" s="241">
        <f t="shared" si="118"/>
        <v>0</v>
      </c>
      <c r="AG51" s="241">
        <f t="shared" si="118"/>
        <v>0</v>
      </c>
      <c r="AH51" s="241">
        <f t="shared" si="118"/>
        <v>0</v>
      </c>
      <c r="AI51" s="241">
        <f>+AI47-AI50</f>
        <v>0</v>
      </c>
      <c r="AJ51" s="241">
        <f>+AJ47-AJ50</f>
        <v>0</v>
      </c>
      <c r="AK51" s="241">
        <f>+AK47-AK50</f>
        <v>0</v>
      </c>
      <c r="AL51" s="241">
        <f>+AL47-AL50</f>
        <v>0</v>
      </c>
      <c r="AM51" s="241">
        <f t="shared" ref="AM51:CW51" si="119">+AM45-AM50</f>
        <v>0</v>
      </c>
      <c r="AN51" s="241">
        <f t="shared" si="119"/>
        <v>0</v>
      </c>
      <c r="AO51" s="241">
        <f t="shared" si="119"/>
        <v>0</v>
      </c>
      <c r="AP51" s="241">
        <f t="shared" si="119"/>
        <v>0</v>
      </c>
      <c r="AQ51" s="241">
        <f t="shared" si="119"/>
        <v>0</v>
      </c>
      <c r="AR51" s="241">
        <f t="shared" si="119"/>
        <v>0</v>
      </c>
      <c r="AS51" s="241">
        <f t="shared" si="119"/>
        <v>0</v>
      </c>
      <c r="AT51" s="241">
        <f t="shared" si="119"/>
        <v>0</v>
      </c>
      <c r="AU51" s="241">
        <f t="shared" si="119"/>
        <v>0</v>
      </c>
      <c r="AV51" s="241">
        <f t="shared" si="119"/>
        <v>0</v>
      </c>
      <c r="AW51" s="241">
        <f t="shared" si="119"/>
        <v>0</v>
      </c>
      <c r="AX51" s="241">
        <f t="shared" si="119"/>
        <v>0</v>
      </c>
      <c r="AY51" s="241">
        <f t="shared" si="119"/>
        <v>0</v>
      </c>
      <c r="AZ51" s="241">
        <f t="shared" si="119"/>
        <v>0</v>
      </c>
      <c r="BA51" s="241">
        <f t="shared" si="119"/>
        <v>0</v>
      </c>
      <c r="BB51" s="241">
        <f t="shared" si="119"/>
        <v>0</v>
      </c>
      <c r="BC51" s="241">
        <f t="shared" si="119"/>
        <v>0</v>
      </c>
      <c r="BD51" s="241">
        <f t="shared" si="119"/>
        <v>0</v>
      </c>
      <c r="BE51" s="241">
        <f t="shared" si="119"/>
        <v>0</v>
      </c>
      <c r="BF51" s="241">
        <f t="shared" si="119"/>
        <v>0</v>
      </c>
      <c r="BG51" s="241">
        <f t="shared" si="119"/>
        <v>0</v>
      </c>
      <c r="BH51" s="241">
        <f t="shared" si="119"/>
        <v>0</v>
      </c>
      <c r="BI51" s="241">
        <f t="shared" si="119"/>
        <v>0</v>
      </c>
      <c r="BJ51" s="241">
        <f t="shared" si="119"/>
        <v>0</v>
      </c>
      <c r="BK51" s="241"/>
      <c r="BL51" s="241">
        <f t="shared" ref="BL51" si="120">+BL45-BL50</f>
        <v>0</v>
      </c>
      <c r="BM51" s="241">
        <f t="shared" si="119"/>
        <v>-913221093680986</v>
      </c>
      <c r="BN51" s="241">
        <f t="shared" si="119"/>
        <v>-837607880142</v>
      </c>
      <c r="BO51" s="241">
        <f t="shared" ref="BO51:BP51" si="121">+BO45-BO50</f>
        <v>0</v>
      </c>
      <c r="BP51" s="241">
        <f t="shared" si="121"/>
        <v>0</v>
      </c>
      <c r="BQ51" s="241">
        <f t="shared" ref="BQ51:BV51" si="122">+BQ45-BQ50</f>
        <v>0</v>
      </c>
      <c r="BR51" s="241">
        <f t="shared" si="122"/>
        <v>0</v>
      </c>
      <c r="BS51" s="241">
        <f t="shared" si="122"/>
        <v>0</v>
      </c>
      <c r="BT51" s="241">
        <f t="shared" si="122"/>
        <v>0</v>
      </c>
      <c r="BU51" s="241">
        <f t="shared" si="122"/>
        <v>0</v>
      </c>
      <c r="BV51" s="241">
        <f t="shared" si="122"/>
        <v>0</v>
      </c>
      <c r="BW51" s="241">
        <f t="shared" ref="BW51" si="123">+BW45-BW50</f>
        <v>0</v>
      </c>
      <c r="BX51" s="241">
        <f t="shared" ref="BX51" si="124">+BX45-BX50</f>
        <v>0</v>
      </c>
      <c r="BY51" s="241">
        <f t="shared" ref="BY51" si="125">+BY45-BY50</f>
        <v>0</v>
      </c>
      <c r="BZ51" s="241">
        <f t="shared" ref="BZ51" si="126">+BZ45-BZ50</f>
        <v>0</v>
      </c>
      <c r="CA51" s="241">
        <f t="shared" ref="CA51:CS51" si="127">+CA45-CA50</f>
        <v>0</v>
      </c>
      <c r="CB51" s="241">
        <f t="shared" si="127"/>
        <v>0</v>
      </c>
      <c r="CC51" s="241">
        <f t="shared" si="127"/>
        <v>0</v>
      </c>
      <c r="CD51" s="241">
        <f t="shared" si="127"/>
        <v>0</v>
      </c>
      <c r="CE51" s="241">
        <f t="shared" si="127"/>
        <v>0</v>
      </c>
      <c r="CF51" s="241">
        <f t="shared" si="127"/>
        <v>0</v>
      </c>
      <c r="CG51" s="241">
        <f t="shared" si="127"/>
        <v>0</v>
      </c>
      <c r="CH51" s="241">
        <f t="shared" si="127"/>
        <v>0</v>
      </c>
      <c r="CI51" s="241">
        <f t="shared" si="127"/>
        <v>0</v>
      </c>
      <c r="CJ51" s="241">
        <f t="shared" si="127"/>
        <v>0</v>
      </c>
      <c r="CK51" s="241">
        <f t="shared" si="127"/>
        <v>0</v>
      </c>
      <c r="CL51" s="241">
        <f t="shared" si="127"/>
        <v>0</v>
      </c>
      <c r="CM51" s="241">
        <f t="shared" si="127"/>
        <v>0</v>
      </c>
      <c r="CN51" s="241">
        <f t="shared" si="127"/>
        <v>0</v>
      </c>
      <c r="CO51" s="241">
        <f t="shared" si="127"/>
        <v>0</v>
      </c>
      <c r="CP51" s="241">
        <f t="shared" si="127"/>
        <v>0</v>
      </c>
      <c r="CQ51" s="241">
        <f t="shared" si="127"/>
        <v>0</v>
      </c>
      <c r="CR51" s="241">
        <f t="shared" si="127"/>
        <v>0</v>
      </c>
      <c r="CS51" s="241">
        <f t="shared" si="127"/>
        <v>0</v>
      </c>
      <c r="CT51" s="241">
        <f t="shared" ref="CT51:CU51" si="128">+CT45-CT50</f>
        <v>0</v>
      </c>
      <c r="CU51" s="241">
        <f t="shared" si="128"/>
        <v>0</v>
      </c>
      <c r="CV51" s="241">
        <f t="shared" si="119"/>
        <v>0</v>
      </c>
      <c r="CW51" s="241">
        <f t="shared" si="119"/>
        <v>0</v>
      </c>
    </row>
    <row r="53" spans="1:101" s="238" customFormat="1" x14ac:dyDescent="0.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c r="CA53" s="232"/>
      <c r="CB53" s="232"/>
      <c r="CC53" s="232"/>
      <c r="CD53" s="232"/>
      <c r="CE53" s="232"/>
      <c r="CF53" s="232"/>
      <c r="CG53" s="232"/>
      <c r="CH53" s="232"/>
      <c r="CI53" s="232"/>
      <c r="CJ53" s="232"/>
      <c r="CK53" s="232"/>
      <c r="CL53" s="232"/>
      <c r="CM53" s="232"/>
      <c r="CN53" s="232"/>
      <c r="CO53" s="232"/>
      <c r="CP53" s="232"/>
      <c r="CQ53" s="232"/>
      <c r="CR53" s="232"/>
      <c r="CS53" s="232"/>
      <c r="CT53" s="232"/>
      <c r="CU53" s="232"/>
      <c r="CV53" s="232"/>
      <c r="CW53" s="232"/>
    </row>
    <row r="54" spans="1:101" s="238" customFormat="1" x14ac:dyDescent="0.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c r="BX54" s="232"/>
      <c r="BY54" s="232"/>
      <c r="BZ54" s="232"/>
      <c r="CA54" s="232"/>
      <c r="CB54" s="232"/>
      <c r="CC54" s="232"/>
      <c r="CD54" s="232"/>
      <c r="CE54" s="232"/>
      <c r="CF54" s="232"/>
      <c r="CG54" s="232"/>
      <c r="CH54" s="232"/>
      <c r="CI54" s="232"/>
      <c r="CJ54" s="232"/>
      <c r="CK54" s="232"/>
      <c r="CL54" s="232"/>
      <c r="CM54" s="232"/>
      <c r="CN54" s="232"/>
      <c r="CO54" s="232"/>
      <c r="CP54" s="232"/>
      <c r="CQ54" s="232"/>
      <c r="CR54" s="232"/>
      <c r="CS54" s="232"/>
      <c r="CT54" s="232"/>
      <c r="CU54" s="232"/>
      <c r="CV54" s="232"/>
      <c r="CW54" s="232"/>
    </row>
    <row r="55" spans="1:101" s="216" customFormat="1" ht="15" x14ac:dyDescent="0.2">
      <c r="A55" s="306" t="s">
        <v>196</v>
      </c>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214"/>
      <c r="CV55" s="214"/>
      <c r="CW55" s="214"/>
    </row>
    <row r="57" spans="1:101" x14ac:dyDescent="0.2">
      <c r="A57" s="207" t="s">
        <v>105</v>
      </c>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row>
    <row r="58" spans="1:101" ht="24" x14ac:dyDescent="0.2">
      <c r="A58" s="249" t="s">
        <v>195</v>
      </c>
      <c r="B58" s="206">
        <f t="shared" ref="B58:AH58" si="129">IFERROR(B10/B14,0)</f>
        <v>3.1849120558955408</v>
      </c>
      <c r="C58" s="206">
        <f t="shared" si="129"/>
        <v>3.5269811450225603</v>
      </c>
      <c r="D58" s="206">
        <f t="shared" si="129"/>
        <v>1.6469512872299792</v>
      </c>
      <c r="E58" s="206">
        <f t="shared" si="129"/>
        <v>5.9630531772345536</v>
      </c>
      <c r="F58" s="206">
        <f t="shared" si="129"/>
        <v>3.5219994973896815</v>
      </c>
      <c r="G58" s="206">
        <f t="shared" si="129"/>
        <v>1.075572042368905</v>
      </c>
      <c r="H58" s="206">
        <f t="shared" si="129"/>
        <v>5.4098889387874927</v>
      </c>
      <c r="I58" s="206">
        <f t="shared" si="129"/>
        <v>3.6720425765098321</v>
      </c>
      <c r="J58" s="206">
        <f t="shared" si="129"/>
        <v>2.3113267820941932</v>
      </c>
      <c r="K58" s="206">
        <f t="shared" si="129"/>
        <v>1.9075072490416949</v>
      </c>
      <c r="L58" s="206">
        <f t="shared" si="129"/>
        <v>1.1216944003879881</v>
      </c>
      <c r="M58" s="206">
        <f t="shared" si="129"/>
        <v>1.2054856602130111</v>
      </c>
      <c r="N58" s="206">
        <f t="shared" si="129"/>
        <v>1.2573787094162538</v>
      </c>
      <c r="O58" s="206">
        <f t="shared" si="129"/>
        <v>1.6246136753552289</v>
      </c>
      <c r="P58" s="206">
        <f t="shared" si="129"/>
        <v>1.9508869060154084</v>
      </c>
      <c r="Q58" s="206">
        <f t="shared" si="129"/>
        <v>1.6060982390709166</v>
      </c>
      <c r="R58" s="206">
        <f t="shared" si="129"/>
        <v>5.4098889387874927</v>
      </c>
      <c r="S58" s="206">
        <f t="shared" si="129"/>
        <v>3.6720425765098321</v>
      </c>
      <c r="T58" s="206">
        <f t="shared" si="129"/>
        <v>1.7828148950834559</v>
      </c>
      <c r="U58" s="206">
        <f t="shared" si="129"/>
        <v>0.71495852741186783</v>
      </c>
      <c r="V58" s="206"/>
      <c r="W58" s="206">
        <f t="shared" si="129"/>
        <v>0.30040667808219179</v>
      </c>
      <c r="X58" s="206">
        <f t="shared" si="129"/>
        <v>3.6059756284097282</v>
      </c>
      <c r="Y58" s="206">
        <f t="shared" si="129"/>
        <v>2.6176804536083194</v>
      </c>
      <c r="Z58" s="206">
        <f t="shared" si="129"/>
        <v>1.0057297053639176</v>
      </c>
      <c r="AA58" s="206">
        <f t="shared" si="129"/>
        <v>0</v>
      </c>
      <c r="AB58" s="206">
        <f t="shared" si="129"/>
        <v>0</v>
      </c>
      <c r="AC58" s="206">
        <f t="shared" si="129"/>
        <v>2.7565324762612713</v>
      </c>
      <c r="AD58" s="206">
        <f t="shared" si="129"/>
        <v>2.4351599258067038</v>
      </c>
      <c r="AE58" s="206">
        <f t="shared" si="129"/>
        <v>1.014670726475466</v>
      </c>
      <c r="AF58" s="206">
        <f t="shared" si="129"/>
        <v>1.1056529629538721</v>
      </c>
      <c r="AG58" s="206">
        <f t="shared" si="129"/>
        <v>1.5581133184456213</v>
      </c>
      <c r="AH58" s="206">
        <f t="shared" si="129"/>
        <v>2.2450761093508582</v>
      </c>
      <c r="AI58" s="206">
        <f t="shared" ref="AI58:BJ58" si="130">IFERROR(AI10/AI14,0)</f>
        <v>1.2119198876814123</v>
      </c>
      <c r="AJ58" s="206">
        <f t="shared" si="130"/>
        <v>1.0528846258286808</v>
      </c>
      <c r="AK58" s="206">
        <f t="shared" si="130"/>
        <v>1.1515033997314577</v>
      </c>
      <c r="AL58" s="206">
        <f t="shared" si="130"/>
        <v>1.5364391388377028</v>
      </c>
      <c r="AM58" s="206">
        <f t="shared" si="130"/>
        <v>0.57005964280403787</v>
      </c>
      <c r="AN58" s="206">
        <f t="shared" si="130"/>
        <v>1.2299801121797362</v>
      </c>
      <c r="AO58" s="206">
        <f t="shared" si="130"/>
        <v>0.98192310015208661</v>
      </c>
      <c r="AP58" s="206">
        <f t="shared" si="130"/>
        <v>0.6901926103792525</v>
      </c>
      <c r="AQ58" s="206">
        <f t="shared" si="130"/>
        <v>1.7246423277796568</v>
      </c>
      <c r="AR58" s="206">
        <f t="shared" si="130"/>
        <v>0.90478436089434877</v>
      </c>
      <c r="AS58" s="206">
        <f t="shared" si="130"/>
        <v>1.5218758492177491</v>
      </c>
      <c r="AT58" s="206">
        <f t="shared" si="130"/>
        <v>1.3867170682856711</v>
      </c>
      <c r="AU58" s="206">
        <f t="shared" si="130"/>
        <v>4.8154904842120354</v>
      </c>
      <c r="AV58" s="206">
        <f t="shared" si="130"/>
        <v>1.965978452699116</v>
      </c>
      <c r="AW58" s="206">
        <f t="shared" si="130"/>
        <v>1.6659027693908979</v>
      </c>
      <c r="AX58" s="206">
        <f t="shared" si="130"/>
        <v>3.3364875410040264</v>
      </c>
      <c r="AY58" s="206">
        <f t="shared" si="130"/>
        <v>1.5950831779973973</v>
      </c>
      <c r="AZ58" s="206">
        <f t="shared" si="130"/>
        <v>1.6756650921461611</v>
      </c>
      <c r="BA58" s="206">
        <f t="shared" si="130"/>
        <v>0.41890800168589115</v>
      </c>
      <c r="BB58" s="206">
        <f t="shared" si="130"/>
        <v>1.0009063105163942</v>
      </c>
      <c r="BC58" s="206">
        <f t="shared" si="130"/>
        <v>1.2936024280847305</v>
      </c>
      <c r="BD58" s="206">
        <f t="shared" si="130"/>
        <v>1.4811102493980832</v>
      </c>
      <c r="BE58" s="206">
        <f t="shared" si="130"/>
        <v>3.3589739194180672E-2</v>
      </c>
      <c r="BF58" s="206">
        <f t="shared" si="130"/>
        <v>2.7472619737757029E-2</v>
      </c>
      <c r="BG58" s="206">
        <f t="shared" si="130"/>
        <v>2.3399207369323052</v>
      </c>
      <c r="BH58" s="206">
        <f t="shared" si="130"/>
        <v>0.60846797654746454</v>
      </c>
      <c r="BI58" s="206">
        <f t="shared" si="130"/>
        <v>9.8763646177720794</v>
      </c>
      <c r="BJ58" s="206">
        <f t="shared" si="130"/>
        <v>3.1921620206301071</v>
      </c>
      <c r="BK58" s="206"/>
      <c r="BL58" s="206">
        <f t="shared" ref="BL58:CW58" si="131">IFERROR(BL10/BL14,0)</f>
        <v>17.085317152166009</v>
      </c>
      <c r="BM58" s="206">
        <f t="shared" si="131"/>
        <v>4.0606322321305521</v>
      </c>
      <c r="BN58" s="206">
        <f t="shared" si="131"/>
        <v>3.9298967660205881</v>
      </c>
      <c r="BO58" s="206">
        <f t="shared" si="131"/>
        <v>0.76540936936116255</v>
      </c>
      <c r="BP58" s="206">
        <f t="shared" si="131"/>
        <v>1.249178087381319</v>
      </c>
      <c r="BQ58" s="206">
        <f t="shared" si="131"/>
        <v>0</v>
      </c>
      <c r="BR58" s="206">
        <f t="shared" si="131"/>
        <v>0.4759565882844024</v>
      </c>
      <c r="BS58" s="206">
        <f t="shared" si="131"/>
        <v>0</v>
      </c>
      <c r="BT58" s="206">
        <f t="shared" si="131"/>
        <v>11.161889621027282</v>
      </c>
      <c r="BU58" s="206">
        <f t="shared" si="131"/>
        <v>0.69177978290380404</v>
      </c>
      <c r="BV58" s="206">
        <f t="shared" si="131"/>
        <v>0.80139419415388635</v>
      </c>
      <c r="BW58" s="206">
        <f t="shared" si="131"/>
        <v>1.0894598792731673</v>
      </c>
      <c r="BX58" s="206">
        <f t="shared" si="131"/>
        <v>1.4414319721808715</v>
      </c>
      <c r="BY58" s="206">
        <f t="shared" si="131"/>
        <v>0.23384397387561343</v>
      </c>
      <c r="BZ58" s="206">
        <f t="shared" si="131"/>
        <v>0.23979268566271164</v>
      </c>
      <c r="CA58" s="206">
        <f t="shared" ref="CA58:CS58" si="132">IFERROR(CA10/CA14,0)</f>
        <v>1.5242372465873211</v>
      </c>
      <c r="CB58" s="206">
        <f t="shared" si="132"/>
        <v>1.7347824563043275</v>
      </c>
      <c r="CC58" s="206">
        <f t="shared" si="132"/>
        <v>6.973176132197465</v>
      </c>
      <c r="CD58" s="206">
        <f t="shared" si="132"/>
        <v>9.7163897301773154</v>
      </c>
      <c r="CE58" s="206">
        <f t="shared" si="132"/>
        <v>1.8027576279462196</v>
      </c>
      <c r="CF58" s="206">
        <f t="shared" si="132"/>
        <v>1.2790391212544983</v>
      </c>
      <c r="CG58" s="206">
        <f t="shared" si="132"/>
        <v>0.34574398105512433</v>
      </c>
      <c r="CH58" s="206">
        <f t="shared" si="132"/>
        <v>1.1251444609542678</v>
      </c>
      <c r="CI58" s="206">
        <f t="shared" si="132"/>
        <v>2.3399207369323052</v>
      </c>
      <c r="CJ58" s="206">
        <f t="shared" si="132"/>
        <v>0.60846797654746454</v>
      </c>
      <c r="CK58" s="206">
        <f t="shared" si="132"/>
        <v>3.2373589616252261</v>
      </c>
      <c r="CL58" s="206">
        <f t="shared" si="132"/>
        <v>1.6736674734545167</v>
      </c>
      <c r="CM58" s="206">
        <f t="shared" si="132"/>
        <v>1.170698093403824</v>
      </c>
      <c r="CN58" s="206">
        <f t="shared" si="132"/>
        <v>0.80309170853539402</v>
      </c>
      <c r="CO58" s="206"/>
      <c r="CP58" s="206">
        <f t="shared" si="132"/>
        <v>1.5629844943905473</v>
      </c>
      <c r="CQ58" s="206">
        <f t="shared" si="132"/>
        <v>1.3744041972394965</v>
      </c>
      <c r="CR58" s="206">
        <f t="shared" si="132"/>
        <v>1.7468746199748248</v>
      </c>
      <c r="CS58" s="206">
        <f t="shared" si="132"/>
        <v>3.1417884793216579</v>
      </c>
      <c r="CT58" s="206">
        <f t="shared" ref="CT58:CU58" si="133">IFERROR(CT10/CT14,0)</f>
        <v>2.543800933498503</v>
      </c>
      <c r="CU58" s="206">
        <f t="shared" si="133"/>
        <v>4.1469827253527001</v>
      </c>
      <c r="CV58" s="206">
        <f t="shared" si="131"/>
        <v>1.7213331678105155</v>
      </c>
      <c r="CW58" s="206">
        <f t="shared" si="131"/>
        <v>1.2606094705088087</v>
      </c>
    </row>
    <row r="59" spans="1:101" x14ac:dyDescent="0.2">
      <c r="A59" s="207" t="s">
        <v>106</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08"/>
      <c r="CC59" s="208"/>
      <c r="CD59" s="208"/>
      <c r="CE59" s="208"/>
      <c r="CF59" s="208"/>
      <c r="CG59" s="208"/>
      <c r="CH59" s="208"/>
      <c r="CI59" s="208"/>
      <c r="CJ59" s="208"/>
      <c r="CK59" s="208"/>
      <c r="CL59" s="208"/>
      <c r="CM59" s="208"/>
      <c r="CN59" s="208"/>
      <c r="CO59" s="208"/>
      <c r="CP59" s="208"/>
      <c r="CQ59" s="208"/>
      <c r="CR59" s="208"/>
      <c r="CS59" s="208"/>
      <c r="CT59" s="208"/>
      <c r="CU59" s="208"/>
      <c r="CV59" s="208"/>
      <c r="CW59" s="208"/>
    </row>
    <row r="60" spans="1:101" x14ac:dyDescent="0.2">
      <c r="A60" s="96" t="s">
        <v>74</v>
      </c>
      <c r="B60" s="87">
        <f t="shared" ref="B60:AH60" si="134">IFERROR(B14/B16,0)</f>
        <v>1</v>
      </c>
      <c r="C60" s="87">
        <f t="shared" si="134"/>
        <v>1</v>
      </c>
      <c r="D60" s="87">
        <f t="shared" si="134"/>
        <v>0.33905627213132211</v>
      </c>
      <c r="E60" s="87">
        <f t="shared" si="134"/>
        <v>0.17110012718088266</v>
      </c>
      <c r="F60" s="87">
        <f t="shared" si="134"/>
        <v>0.48769574647254355</v>
      </c>
      <c r="G60" s="87">
        <f t="shared" si="134"/>
        <v>0.48268281602217772</v>
      </c>
      <c r="H60" s="87">
        <f t="shared" si="134"/>
        <v>0.38963480951026508</v>
      </c>
      <c r="I60" s="87">
        <f t="shared" si="134"/>
        <v>0.64012037035758984</v>
      </c>
      <c r="J60" s="87">
        <f t="shared" si="134"/>
        <v>0.9971571677521639</v>
      </c>
      <c r="K60" s="87">
        <f t="shared" si="134"/>
        <v>0.99488667566028299</v>
      </c>
      <c r="L60" s="87">
        <f t="shared" si="134"/>
        <v>0.87717069306384265</v>
      </c>
      <c r="M60" s="87">
        <f t="shared" si="134"/>
        <v>0.87154310277493807</v>
      </c>
      <c r="N60" s="87">
        <f t="shared" si="134"/>
        <v>0.75087886969658724</v>
      </c>
      <c r="O60" s="87">
        <f t="shared" si="134"/>
        <v>0.86979442763543502</v>
      </c>
      <c r="P60" s="87">
        <f t="shared" si="134"/>
        <v>0.89099961232381142</v>
      </c>
      <c r="Q60" s="87">
        <f t="shared" si="134"/>
        <v>0.63713871164669911</v>
      </c>
      <c r="R60" s="87">
        <f t="shared" si="134"/>
        <v>0.38963480951026508</v>
      </c>
      <c r="S60" s="87">
        <f t="shared" si="134"/>
        <v>0.64012037035758984</v>
      </c>
      <c r="T60" s="87">
        <f t="shared" si="134"/>
        <v>0.71395654937920183</v>
      </c>
      <c r="U60" s="87">
        <f t="shared" si="134"/>
        <v>0.69396843211430626</v>
      </c>
      <c r="V60" s="87"/>
      <c r="W60" s="87">
        <f t="shared" si="134"/>
        <v>0.48967796756093085</v>
      </c>
      <c r="X60" s="87">
        <f t="shared" si="134"/>
        <v>0.28694532633026582</v>
      </c>
      <c r="Y60" s="87">
        <f t="shared" si="134"/>
        <v>0.18874125263743993</v>
      </c>
      <c r="Z60" s="87">
        <f t="shared" si="134"/>
        <v>0.97888750386743029</v>
      </c>
      <c r="AA60" s="87">
        <f t="shared" si="134"/>
        <v>0</v>
      </c>
      <c r="AB60" s="87">
        <f t="shared" si="134"/>
        <v>0</v>
      </c>
      <c r="AC60" s="87">
        <f t="shared" si="134"/>
        <v>0.86354400112593843</v>
      </c>
      <c r="AD60" s="87">
        <f t="shared" si="134"/>
        <v>0.83628516665496411</v>
      </c>
      <c r="AE60" s="87">
        <f t="shared" si="134"/>
        <v>0.7923976319388043</v>
      </c>
      <c r="AF60" s="87">
        <f t="shared" si="134"/>
        <v>0.59466387620286454</v>
      </c>
      <c r="AG60" s="87">
        <f t="shared" si="134"/>
        <v>0.91945458358167831</v>
      </c>
      <c r="AH60" s="87">
        <f t="shared" si="134"/>
        <v>0.88945093599106873</v>
      </c>
      <c r="AI60" s="87">
        <f t="shared" ref="AI60:BJ60" si="135">IFERROR(AI14/AI16,0)</f>
        <v>0.70824128636504469</v>
      </c>
      <c r="AJ60" s="87">
        <f t="shared" si="135"/>
        <v>0.76359167269488171</v>
      </c>
      <c r="AK60" s="87">
        <f t="shared" si="135"/>
        <v>0.49310891536698181</v>
      </c>
      <c r="AL60" s="87">
        <f t="shared" si="135"/>
        <v>0.42075202635499021</v>
      </c>
      <c r="AM60" s="87">
        <f t="shared" si="135"/>
        <v>0.73239821785964077</v>
      </c>
      <c r="AN60" s="87">
        <f t="shared" si="135"/>
        <v>0.72023791205870591</v>
      </c>
      <c r="AO60" s="87">
        <f t="shared" si="135"/>
        <v>0.9918099293715319</v>
      </c>
      <c r="AP60" s="87">
        <f t="shared" si="135"/>
        <v>0.99998863798831794</v>
      </c>
      <c r="AQ60" s="87">
        <f t="shared" si="135"/>
        <v>0.74671219061841443</v>
      </c>
      <c r="AR60" s="87">
        <f t="shared" si="135"/>
        <v>0.72765360763624909</v>
      </c>
      <c r="AS60" s="87">
        <f t="shared" si="135"/>
        <v>0.23576017914564126</v>
      </c>
      <c r="AT60" s="87">
        <f t="shared" si="135"/>
        <v>0.14971931291936913</v>
      </c>
      <c r="AU60" s="87">
        <f t="shared" si="135"/>
        <v>1</v>
      </c>
      <c r="AV60" s="87">
        <f t="shared" si="135"/>
        <v>1</v>
      </c>
      <c r="AW60" s="87">
        <f t="shared" si="135"/>
        <v>0.97439763204345275</v>
      </c>
      <c r="AX60" s="87">
        <f t="shared" si="135"/>
        <v>0.99236499754830276</v>
      </c>
      <c r="AY60" s="87">
        <f t="shared" si="135"/>
        <v>6.8673270005047901E-2</v>
      </c>
      <c r="AZ60" s="87">
        <f t="shared" si="135"/>
        <v>0.11149678408771513</v>
      </c>
      <c r="BA60" s="87">
        <f t="shared" si="135"/>
        <v>0.1360610439829138</v>
      </c>
      <c r="BB60" s="87">
        <f t="shared" si="135"/>
        <v>0.14181587219204958</v>
      </c>
      <c r="BC60" s="87">
        <f t="shared" si="135"/>
        <v>0.59042990529120198</v>
      </c>
      <c r="BD60" s="87">
        <f t="shared" si="135"/>
        <v>0.80184543235904049</v>
      </c>
      <c r="BE60" s="87">
        <f t="shared" si="135"/>
        <v>1</v>
      </c>
      <c r="BF60" s="87">
        <f t="shared" si="135"/>
        <v>1</v>
      </c>
      <c r="BG60" s="87">
        <f t="shared" si="135"/>
        <v>0.11000742338011241</v>
      </c>
      <c r="BH60" s="87">
        <f t="shared" si="135"/>
        <v>0.17240235188814643</v>
      </c>
      <c r="BI60" s="87">
        <f t="shared" si="135"/>
        <v>1</v>
      </c>
      <c r="BJ60" s="87">
        <f t="shared" si="135"/>
        <v>1</v>
      </c>
      <c r="BK60" s="87"/>
      <c r="BL60" s="87">
        <f t="shared" ref="BL60:CW60" si="136">IFERROR(BL14/BL16,0)</f>
        <v>1</v>
      </c>
      <c r="BM60" s="87">
        <f t="shared" si="136"/>
        <v>0.96777788474459581</v>
      </c>
      <c r="BN60" s="87">
        <f t="shared" si="136"/>
        <v>0.51878129352545665</v>
      </c>
      <c r="BO60" s="87">
        <f t="shared" si="136"/>
        <v>0.53989262058812204</v>
      </c>
      <c r="BP60" s="87">
        <f t="shared" si="136"/>
        <v>0.57746329890019688</v>
      </c>
      <c r="BQ60" s="87">
        <f t="shared" si="136"/>
        <v>0</v>
      </c>
      <c r="BR60" s="87">
        <f t="shared" si="136"/>
        <v>1</v>
      </c>
      <c r="BS60" s="87">
        <f t="shared" si="136"/>
        <v>0</v>
      </c>
      <c r="BT60" s="87">
        <f t="shared" si="136"/>
        <v>1</v>
      </c>
      <c r="BU60" s="87">
        <f t="shared" si="136"/>
        <v>0.36349640401228006</v>
      </c>
      <c r="BV60" s="87">
        <f t="shared" si="136"/>
        <v>0.27705854629434745</v>
      </c>
      <c r="BW60" s="87">
        <f t="shared" si="136"/>
        <v>0.94518941229139053</v>
      </c>
      <c r="BX60" s="87">
        <f t="shared" si="136"/>
        <v>0.98523972374952651</v>
      </c>
      <c r="BY60" s="87">
        <f t="shared" si="136"/>
        <v>0.26977995997514381</v>
      </c>
      <c r="BZ60" s="87">
        <f t="shared" si="136"/>
        <v>0.35270270237669288</v>
      </c>
      <c r="CA60" s="87">
        <f t="shared" ref="CA60:CS60" si="137">IFERROR(CA14/CA16,0)</f>
        <v>0.45956279834615971</v>
      </c>
      <c r="CB60" s="87">
        <f t="shared" si="137"/>
        <v>0.33920861099717231</v>
      </c>
      <c r="CC60" s="87">
        <f t="shared" si="137"/>
        <v>0.45602802806640069</v>
      </c>
      <c r="CD60" s="87">
        <f t="shared" si="137"/>
        <v>0.46080675141428851</v>
      </c>
      <c r="CE60" s="87">
        <f t="shared" si="137"/>
        <v>0.18326105006675492</v>
      </c>
      <c r="CF60" s="87">
        <f t="shared" si="137"/>
        <v>0.17875802271913313</v>
      </c>
      <c r="CG60" s="87">
        <f t="shared" si="137"/>
        <v>1</v>
      </c>
      <c r="CH60" s="87">
        <f t="shared" si="137"/>
        <v>1</v>
      </c>
      <c r="CI60" s="87">
        <f t="shared" si="137"/>
        <v>0.11000742338011241</v>
      </c>
      <c r="CJ60" s="87">
        <f t="shared" si="137"/>
        <v>0.17240235188814643</v>
      </c>
      <c r="CK60" s="87">
        <f t="shared" si="137"/>
        <v>0.96583013356777803</v>
      </c>
      <c r="CL60" s="87">
        <f t="shared" si="137"/>
        <v>0.9902994391930432</v>
      </c>
      <c r="CM60" s="87">
        <f t="shared" si="137"/>
        <v>0.17721134523283441</v>
      </c>
      <c r="CN60" s="87">
        <f t="shared" si="137"/>
        <v>0.45828150114471583</v>
      </c>
      <c r="CO60" s="87"/>
      <c r="CP60" s="87">
        <f t="shared" si="137"/>
        <v>0.35491026356397737</v>
      </c>
      <c r="CQ60" s="87">
        <f t="shared" si="137"/>
        <v>0.4395395278500997</v>
      </c>
      <c r="CR60" s="87">
        <f t="shared" si="137"/>
        <v>0.85697192285687962</v>
      </c>
      <c r="CS60" s="87">
        <f t="shared" si="137"/>
        <v>0.7017273036962548</v>
      </c>
      <c r="CT60" s="87">
        <f t="shared" ref="CT60:CU60" si="138">IFERROR(CT14/CT16,0)</f>
        <v>1</v>
      </c>
      <c r="CU60" s="87">
        <f t="shared" si="138"/>
        <v>1</v>
      </c>
      <c r="CV60" s="87">
        <f t="shared" si="136"/>
        <v>0.29469824255941179</v>
      </c>
      <c r="CW60" s="87">
        <f t="shared" si="136"/>
        <v>0.37992052067014337</v>
      </c>
    </row>
    <row r="61" spans="1:101" x14ac:dyDescent="0.2">
      <c r="A61" s="96" t="s">
        <v>75</v>
      </c>
      <c r="B61" s="86">
        <f t="shared" ref="B61:AH61" si="139">IFERROR(B16/B32,0)</f>
        <v>0.26692091112470923</v>
      </c>
      <c r="C61" s="86">
        <f t="shared" si="139"/>
        <v>0.25988655572276398</v>
      </c>
      <c r="D61" s="86">
        <f t="shared" si="139"/>
        <v>1.6629311167004879</v>
      </c>
      <c r="E61" s="86">
        <f t="shared" si="139"/>
        <v>0.69409609417811469</v>
      </c>
      <c r="F61" s="86">
        <f t="shared" si="139"/>
        <v>0.53568430408389656</v>
      </c>
      <c r="G61" s="86">
        <f t="shared" si="139"/>
        <v>1.4758406768042895</v>
      </c>
      <c r="H61" s="86">
        <f t="shared" si="139"/>
        <v>0.79672719860350383</v>
      </c>
      <c r="I61" s="86">
        <f t="shared" si="139"/>
        <v>0.65250612764884808</v>
      </c>
      <c r="J61" s="86">
        <f t="shared" si="139"/>
        <v>0.23693090430393085</v>
      </c>
      <c r="K61" s="86">
        <f t="shared" si="139"/>
        <v>0.3505101300383045</v>
      </c>
      <c r="L61" s="86">
        <f t="shared" si="139"/>
        <v>3.3081677737080692</v>
      </c>
      <c r="M61" s="86">
        <f t="shared" si="139"/>
        <v>2.3708718110074738</v>
      </c>
      <c r="N61" s="86">
        <f t="shared" si="139"/>
        <v>0.51729496502332339</v>
      </c>
      <c r="O61" s="86">
        <f t="shared" si="139"/>
        <v>0.2908555567069212</v>
      </c>
      <c r="P61" s="86">
        <f t="shared" si="139"/>
        <v>0.60996004511977997</v>
      </c>
      <c r="Q61" s="86">
        <f t="shared" si="139"/>
        <v>1.180289328570481</v>
      </c>
      <c r="R61" s="86">
        <f t="shared" si="139"/>
        <v>0.79672719860350383</v>
      </c>
      <c r="S61" s="86">
        <f t="shared" si="139"/>
        <v>0.65250612764884808</v>
      </c>
      <c r="T61" s="86">
        <f t="shared" si="139"/>
        <v>0.25666537169142573</v>
      </c>
      <c r="U61" s="86">
        <f t="shared" si="139"/>
        <v>0.2489717967659498</v>
      </c>
      <c r="V61" s="86"/>
      <c r="W61" s="86">
        <f t="shared" si="139"/>
        <v>0.42216055713493328</v>
      </c>
      <c r="X61" s="86">
        <f t="shared" si="139"/>
        <v>9.375763012710249E-2</v>
      </c>
      <c r="Y61" s="86">
        <f t="shared" si="139"/>
        <v>0.36421069030507497</v>
      </c>
      <c r="Z61" s="86">
        <f t="shared" si="139"/>
        <v>1.0552470797179323</v>
      </c>
      <c r="AA61" s="86">
        <f t="shared" si="139"/>
        <v>0</v>
      </c>
      <c r="AB61" s="86">
        <f t="shared" si="139"/>
        <v>0</v>
      </c>
      <c r="AC61" s="86">
        <f t="shared" si="139"/>
        <v>0.27841013687921651</v>
      </c>
      <c r="AD61" s="86">
        <f t="shared" si="139"/>
        <v>0.3250402217453392</v>
      </c>
      <c r="AE61" s="86">
        <f t="shared" si="139"/>
        <v>0.68395621615391788</v>
      </c>
      <c r="AF61" s="86">
        <f t="shared" si="139"/>
        <v>0.6192278973631018</v>
      </c>
      <c r="AG61" s="86">
        <f t="shared" si="139"/>
        <v>0.60966927996387932</v>
      </c>
      <c r="AH61" s="86">
        <f t="shared" si="139"/>
        <v>0.30237935897248724</v>
      </c>
      <c r="AI61" s="86">
        <f t="shared" ref="AI61:BJ61" si="140">IFERROR(AI16/AI32,0)</f>
        <v>1.3696677366119816</v>
      </c>
      <c r="AJ61" s="86">
        <f t="shared" si="140"/>
        <v>1.2172138799850099</v>
      </c>
      <c r="AK61" s="86">
        <f t="shared" si="140"/>
        <v>1.4704388597597251</v>
      </c>
      <c r="AL61" s="86">
        <f t="shared" si="140"/>
        <v>1.3713197998663753</v>
      </c>
      <c r="AM61" s="86">
        <f t="shared" si="140"/>
        <v>0.65168246938814134</v>
      </c>
      <c r="AN61" s="86">
        <f t="shared" si="140"/>
        <v>0.52081402735766036</v>
      </c>
      <c r="AO61" s="86">
        <f t="shared" si="140"/>
        <v>4.4303898247019253</v>
      </c>
      <c r="AP61" s="86">
        <f t="shared" si="140"/>
        <v>-3.3188326250747626</v>
      </c>
      <c r="AQ61" s="86">
        <f t="shared" si="140"/>
        <v>0.65794682073517252</v>
      </c>
      <c r="AR61" s="86">
        <f t="shared" si="140"/>
        <v>1.3505795927474002</v>
      </c>
      <c r="AS61" s="86">
        <f t="shared" si="140"/>
        <v>0.41952193886842287</v>
      </c>
      <c r="AT61" s="86">
        <f t="shared" si="140"/>
        <v>5.0520850524669312</v>
      </c>
      <c r="AU61" s="86">
        <f t="shared" si="140"/>
        <v>8.5640163367336472E-2</v>
      </c>
      <c r="AV61" s="86">
        <f t="shared" si="140"/>
        <v>0.40087321987632879</v>
      </c>
      <c r="AW61" s="86">
        <f t="shared" si="140"/>
        <v>0.42851251207759666</v>
      </c>
      <c r="AX61" s="86">
        <f t="shared" si="140"/>
        <v>0.24391166983069892</v>
      </c>
      <c r="AY61" s="86">
        <f t="shared" si="140"/>
        <v>0.33093517704420111</v>
      </c>
      <c r="AZ61" s="86">
        <f t="shared" si="140"/>
        <v>0.28687679513765757</v>
      </c>
      <c r="BA61" s="86">
        <f t="shared" si="140"/>
        <v>3.3185883641900999</v>
      </c>
      <c r="BB61" s="86">
        <f t="shared" si="140"/>
        <v>2.5852286112825524</v>
      </c>
      <c r="BC61" s="86">
        <f t="shared" si="140"/>
        <v>0.89251538301176458</v>
      </c>
      <c r="BD61" s="86">
        <f t="shared" si="140"/>
        <v>0.68293936145643874</v>
      </c>
      <c r="BE61" s="86">
        <f t="shared" si="140"/>
        <v>11.417558806741301</v>
      </c>
      <c r="BF61" s="86">
        <f t="shared" si="140"/>
        <v>-24.364445004506308</v>
      </c>
      <c r="BG61" s="86">
        <f t="shared" si="140"/>
        <v>59.079011486251304</v>
      </c>
      <c r="BH61" s="86">
        <f t="shared" si="140"/>
        <v>56.395996518711925</v>
      </c>
      <c r="BI61" s="86">
        <f t="shared" si="140"/>
        <v>8.3264980505398933E-2</v>
      </c>
      <c r="BJ61" s="86">
        <f t="shared" si="140"/>
        <v>0.32680861951330453</v>
      </c>
      <c r="BK61" s="86"/>
      <c r="BL61" s="86">
        <f t="shared" ref="BL61:CW61" si="141">IFERROR(BL16/BL32,0)</f>
        <v>4.9424133349193627E-2</v>
      </c>
      <c r="BM61" s="86">
        <f t="shared" si="141"/>
        <v>0.32891173137931118</v>
      </c>
      <c r="BN61" s="86">
        <f t="shared" si="141"/>
        <v>0.89402695972887225</v>
      </c>
      <c r="BO61" s="86">
        <f t="shared" si="141"/>
        <v>2.1557769682928183</v>
      </c>
      <c r="BP61" s="86">
        <f t="shared" si="141"/>
        <v>1.3047644268003351</v>
      </c>
      <c r="BQ61" s="86">
        <f t="shared" si="141"/>
        <v>0</v>
      </c>
      <c r="BR61" s="86">
        <f t="shared" si="141"/>
        <v>0.85664360669962769</v>
      </c>
      <c r="BS61" s="86">
        <f t="shared" si="141"/>
        <v>0</v>
      </c>
      <c r="BT61" s="86">
        <f t="shared" si="141"/>
        <v>2.5981254575523548E-2</v>
      </c>
      <c r="BU61" s="86">
        <f t="shared" si="141"/>
        <v>27.801787299499981</v>
      </c>
      <c r="BV61" s="86">
        <f t="shared" si="141"/>
        <v>5.792870369065942</v>
      </c>
      <c r="BW61" s="86">
        <f t="shared" si="141"/>
        <v>0.28587679080946454</v>
      </c>
      <c r="BX61" s="86">
        <f t="shared" si="141"/>
        <v>0.14745496372869593</v>
      </c>
      <c r="BY61" s="86">
        <f t="shared" si="141"/>
        <v>1.8778933942086025</v>
      </c>
      <c r="BZ61" s="86">
        <f t="shared" si="141"/>
        <v>1.7026001032645794</v>
      </c>
      <c r="CA61" s="86">
        <f t="shared" ref="CA61:CS61" si="142">IFERROR(CA16/CA32,0)</f>
        <v>1.5142909157109048</v>
      </c>
      <c r="CB61" s="86">
        <f t="shared" si="142"/>
        <v>1.3312291771632669</v>
      </c>
      <c r="CC61" s="86">
        <f t="shared" si="142"/>
        <v>0.31886682694094237</v>
      </c>
      <c r="CD61" s="86">
        <f t="shared" si="142"/>
        <v>0.21901174459001038</v>
      </c>
      <c r="CE61" s="86">
        <f t="shared" si="142"/>
        <v>2.1469825969530527</v>
      </c>
      <c r="CF61" s="86">
        <f t="shared" si="142"/>
        <v>2.7476939637716642</v>
      </c>
      <c r="CG61" s="86">
        <f t="shared" si="142"/>
        <v>7.2201377345048681E-2</v>
      </c>
      <c r="CH61" s="86">
        <f t="shared" si="142"/>
        <v>5.4564618128749798E-2</v>
      </c>
      <c r="CI61" s="86">
        <f t="shared" si="142"/>
        <v>59.079011486251304</v>
      </c>
      <c r="CJ61" s="86">
        <f t="shared" si="142"/>
        <v>56.395996518711925</v>
      </c>
      <c r="CK61" s="86">
        <f t="shared" si="142"/>
        <v>0.27098961221181178</v>
      </c>
      <c r="CL61" s="86">
        <f t="shared" si="142"/>
        <v>0.98139501011512165</v>
      </c>
      <c r="CM61" s="86">
        <f t="shared" si="142"/>
        <v>3.9081103187496464</v>
      </c>
      <c r="CN61" s="86">
        <f t="shared" si="142"/>
        <v>0.77779351579167155</v>
      </c>
      <c r="CO61" s="86"/>
      <c r="CP61" s="86">
        <f t="shared" si="142"/>
        <v>1.0020407217811185</v>
      </c>
      <c r="CQ61" s="86">
        <f t="shared" si="142"/>
        <v>1.151871042200431</v>
      </c>
      <c r="CR61" s="86">
        <f t="shared" si="142"/>
        <v>0.53320352059925147</v>
      </c>
      <c r="CS61" s="86">
        <f t="shared" si="142"/>
        <v>0.6547356384554136</v>
      </c>
      <c r="CT61" s="86">
        <f t="shared" ref="CT61:CU61" si="143">IFERROR(CT16/CT32,0)</f>
        <v>9.5854791004102588E-2</v>
      </c>
      <c r="CU61" s="86">
        <f t="shared" si="143"/>
        <v>6.9338905474091189E-2</v>
      </c>
      <c r="CV61" s="86">
        <f t="shared" si="141"/>
        <v>2.375746793667652</v>
      </c>
      <c r="CW61" s="86">
        <f t="shared" si="141"/>
        <v>2.1269927233914276</v>
      </c>
    </row>
    <row r="62" spans="1:101" x14ac:dyDescent="0.2">
      <c r="A62" s="97" t="s">
        <v>76</v>
      </c>
      <c r="B62" s="86">
        <f t="shared" ref="B62:AH62" si="144">IFERROR(B15/B32,0)</f>
        <v>0</v>
      </c>
      <c r="C62" s="86">
        <f t="shared" si="144"/>
        <v>0</v>
      </c>
      <c r="D62" s="86">
        <f t="shared" si="144"/>
        <v>1.099103891460844</v>
      </c>
      <c r="E62" s="86">
        <f t="shared" si="144"/>
        <v>0.57533616418848532</v>
      </c>
      <c r="F62" s="86">
        <f t="shared" si="144"/>
        <v>0.27443334753007564</v>
      </c>
      <c r="G62" s="86">
        <f t="shared" si="144"/>
        <v>0.76347774292431836</v>
      </c>
      <c r="H62" s="86">
        <f t="shared" si="144"/>
        <v>0.48629454834398045</v>
      </c>
      <c r="I62" s="86">
        <f t="shared" si="144"/>
        <v>0.23482366355767065</v>
      </c>
      <c r="J62" s="86">
        <f t="shared" si="144"/>
        <v>6.7355481526418107E-4</v>
      </c>
      <c r="K62" s="86">
        <f t="shared" si="144"/>
        <v>1.7922719792422364E-3</v>
      </c>
      <c r="L62" s="86">
        <f t="shared" si="144"/>
        <v>0.40633995487309266</v>
      </c>
      <c r="M62" s="86">
        <f t="shared" si="144"/>
        <v>0.30455483656038362</v>
      </c>
      <c r="N62" s="86">
        <f t="shared" si="144"/>
        <v>0.12886910638687471</v>
      </c>
      <c r="O62" s="86">
        <f t="shared" si="144"/>
        <v>3.7871014236438863E-2</v>
      </c>
      <c r="P62" s="86">
        <f t="shared" si="144"/>
        <v>6.6485881385041509E-2</v>
      </c>
      <c r="Q62" s="86">
        <f t="shared" si="144"/>
        <v>0.42828130639473722</v>
      </c>
      <c r="R62" s="86">
        <f t="shared" si="144"/>
        <v>0.48629454834398045</v>
      </c>
      <c r="S62" s="86">
        <f t="shared" si="144"/>
        <v>0.23482366355767065</v>
      </c>
      <c r="T62" s="86">
        <f t="shared" si="144"/>
        <v>7.3417448573485145E-2</v>
      </c>
      <c r="U62" s="86">
        <f t="shared" si="144"/>
        <v>7.6193229323601924E-2</v>
      </c>
      <c r="V62" s="86"/>
      <c r="W62" s="86">
        <f t="shared" si="144"/>
        <v>0.21543783353270893</v>
      </c>
      <c r="X62" s="86">
        <f t="shared" si="144"/>
        <v>6.6854316354328702E-2</v>
      </c>
      <c r="Y62" s="86">
        <f t="shared" si="144"/>
        <v>0.29546910839294843</v>
      </c>
      <c r="Z62" s="86">
        <f t="shared" si="144"/>
        <v>2.2278899889450286E-2</v>
      </c>
      <c r="AA62" s="86">
        <f t="shared" si="144"/>
        <v>0</v>
      </c>
      <c r="AB62" s="86">
        <f t="shared" si="144"/>
        <v>0</v>
      </c>
      <c r="AC62" s="86">
        <f t="shared" si="144"/>
        <v>3.7990733324517703E-2</v>
      </c>
      <c r="AD62" s="86">
        <f t="shared" si="144"/>
        <v>5.321390573347172E-2</v>
      </c>
      <c r="AE62" s="86">
        <f t="shared" si="144"/>
        <v>0.14199093012372835</v>
      </c>
      <c r="AF62" s="86">
        <f t="shared" si="144"/>
        <v>0.25099543566421012</v>
      </c>
      <c r="AG62" s="86">
        <f t="shared" si="144"/>
        <v>4.9106066032149003E-2</v>
      </c>
      <c r="AH62" s="86">
        <f t="shared" si="144"/>
        <v>3.3427755110029087E-2</v>
      </c>
      <c r="AI62" s="86">
        <f t="shared" ref="AI62:BJ62" si="145">IFERROR(AI15/AI32,0)</f>
        <v>0.39961249694121259</v>
      </c>
      <c r="AJ62" s="86">
        <f t="shared" si="145"/>
        <v>0.28775949733982925</v>
      </c>
      <c r="AK62" s="86">
        <f t="shared" si="145"/>
        <v>0.74535234851014553</v>
      </c>
      <c r="AL62" s="86">
        <f t="shared" si="145"/>
        <v>0.7943342152918782</v>
      </c>
      <c r="AM62" s="86">
        <f t="shared" si="145"/>
        <v>0.17439139019789676</v>
      </c>
      <c r="AN62" s="86">
        <f t="shared" si="145"/>
        <v>0.14570401972269334</v>
      </c>
      <c r="AO62" s="86">
        <f t="shared" si="145"/>
        <v>3.6285205575955264E-2</v>
      </c>
      <c r="AP62" s="86">
        <f t="shared" si="145"/>
        <v>-3.7708615056840499E-5</v>
      </c>
      <c r="AQ62" s="86">
        <f t="shared" si="145"/>
        <v>0.16664990891359066</v>
      </c>
      <c r="AR62" s="86">
        <f t="shared" si="145"/>
        <v>0.36782547968485829</v>
      </c>
      <c r="AS62" s="86">
        <f t="shared" si="145"/>
        <v>0.32061537140527674</v>
      </c>
      <c r="AT62" s="86">
        <f t="shared" si="145"/>
        <v>4.2956903496013679</v>
      </c>
      <c r="AU62" s="86">
        <f t="shared" si="145"/>
        <v>0</v>
      </c>
      <c r="AV62" s="86">
        <f t="shared" si="145"/>
        <v>0</v>
      </c>
      <c r="AW62" s="86">
        <f t="shared" si="145"/>
        <v>1.0970935008195003E-2</v>
      </c>
      <c r="AX62" s="86">
        <f t="shared" si="145"/>
        <v>1.8622661971549486E-3</v>
      </c>
      <c r="AY62" s="86">
        <f t="shared" si="145"/>
        <v>0.30820877627687637</v>
      </c>
      <c r="AZ62" s="86">
        <f t="shared" si="145"/>
        <v>0.25489095505041848</v>
      </c>
      <c r="BA62" s="86">
        <f t="shared" si="145"/>
        <v>2.8670577668088448</v>
      </c>
      <c r="BB62" s="86">
        <f t="shared" si="145"/>
        <v>2.2186021609576763</v>
      </c>
      <c r="BC62" s="86">
        <f t="shared" si="145"/>
        <v>0.36554760994918756</v>
      </c>
      <c r="BD62" s="86">
        <f t="shared" si="145"/>
        <v>0.13532755389439363</v>
      </c>
      <c r="BE62" s="86">
        <f t="shared" si="145"/>
        <v>0</v>
      </c>
      <c r="BF62" s="86">
        <f t="shared" si="145"/>
        <v>0</v>
      </c>
      <c r="BG62" s="86">
        <f t="shared" si="145"/>
        <v>52.579881656804737</v>
      </c>
      <c r="BH62" s="86">
        <f t="shared" si="145"/>
        <v>46.673194081810273</v>
      </c>
      <c r="BI62" s="86">
        <f t="shared" si="145"/>
        <v>0</v>
      </c>
      <c r="BJ62" s="86">
        <f t="shared" si="145"/>
        <v>0</v>
      </c>
      <c r="BK62" s="86"/>
      <c r="BL62" s="86">
        <f t="shared" ref="BL62:CW62" si="146">IFERROR(BL15/BL32,0)</f>
        <v>0</v>
      </c>
      <c r="BM62" s="86">
        <f t="shared" si="146"/>
        <v>1.0598231717358693E-2</v>
      </c>
      <c r="BN62" s="86">
        <f t="shared" si="146"/>
        <v>0.4302224971140966</v>
      </c>
      <c r="BO62" s="86">
        <f t="shared" si="146"/>
        <v>0.99188889147769166</v>
      </c>
      <c r="BP62" s="86">
        <f t="shared" si="146"/>
        <v>0.55131085661258905</v>
      </c>
      <c r="BQ62" s="86">
        <f t="shared" si="146"/>
        <v>0</v>
      </c>
      <c r="BR62" s="86">
        <f t="shared" si="146"/>
        <v>0</v>
      </c>
      <c r="BS62" s="86">
        <f t="shared" si="146"/>
        <v>0</v>
      </c>
      <c r="BT62" s="86">
        <f t="shared" si="146"/>
        <v>0</v>
      </c>
      <c r="BU62" s="86">
        <f t="shared" si="146"/>
        <v>17.695937591017458</v>
      </c>
      <c r="BV62" s="86">
        <f t="shared" si="146"/>
        <v>4.1879061257409322</v>
      </c>
      <c r="BW62" s="86">
        <f t="shared" si="146"/>
        <v>1.5669074916517971E-2</v>
      </c>
      <c r="BX62" s="86">
        <f t="shared" si="146"/>
        <v>2.1764759991390985E-3</v>
      </c>
      <c r="BY62" s="86">
        <f t="shared" si="146"/>
        <v>1.3712753894814187</v>
      </c>
      <c r="BZ62" s="86">
        <f t="shared" si="146"/>
        <v>1.102088445776326</v>
      </c>
      <c r="CA62" s="86">
        <f t="shared" ref="CA62:CS62" si="147">IFERROR(CA15/CA32,0)</f>
        <v>0.81837914497663267</v>
      </c>
      <c r="CB62" s="86">
        <f t="shared" si="147"/>
        <v>0.87966477705880641</v>
      </c>
      <c r="CC62" s="86">
        <f t="shared" si="147"/>
        <v>0.17345461663527417</v>
      </c>
      <c r="CD62" s="86">
        <f t="shared" si="147"/>
        <v>0.11808965404391183</v>
      </c>
      <c r="CE62" s="86">
        <f t="shared" si="147"/>
        <v>1.7535243117603878</v>
      </c>
      <c r="CF62" s="86">
        <f t="shared" si="147"/>
        <v>2.2565216237705439</v>
      </c>
      <c r="CG62" s="86">
        <f t="shared" si="147"/>
        <v>0</v>
      </c>
      <c r="CH62" s="86">
        <f t="shared" si="147"/>
        <v>0</v>
      </c>
      <c r="CI62" s="86">
        <f t="shared" si="147"/>
        <v>52.579881656804737</v>
      </c>
      <c r="CJ62" s="86">
        <f t="shared" si="147"/>
        <v>46.673194081810273</v>
      </c>
      <c r="CK62" s="86">
        <f t="shared" si="147"/>
        <v>9.259678853797252E-3</v>
      </c>
      <c r="CL62" s="86">
        <f t="shared" si="147"/>
        <v>9.5200819712657255E-3</v>
      </c>
      <c r="CM62" s="86">
        <f t="shared" si="147"/>
        <v>3.2155488318457004</v>
      </c>
      <c r="CN62" s="86">
        <f t="shared" si="147"/>
        <v>0.42134513579403804</v>
      </c>
      <c r="CO62" s="86"/>
      <c r="CP62" s="86">
        <f t="shared" si="147"/>
        <v>0.64640618511194359</v>
      </c>
      <c r="CQ62" s="86">
        <f t="shared" si="147"/>
        <v>0.64557818816745127</v>
      </c>
      <c r="CR62" s="86">
        <f t="shared" si="147"/>
        <v>7.626307427725311E-2</v>
      </c>
      <c r="CS62" s="86">
        <f t="shared" si="147"/>
        <v>0.19528976424825026</v>
      </c>
      <c r="CT62" s="86">
        <f t="shared" ref="CT62:CU62" si="148">IFERROR(CT15/CT32,0)</f>
        <v>0</v>
      </c>
      <c r="CU62" s="86">
        <f t="shared" si="148"/>
        <v>0</v>
      </c>
      <c r="CV62" s="86">
        <f t="shared" si="146"/>
        <v>1.6756183888076372</v>
      </c>
      <c r="CW62" s="86">
        <f t="shared" si="146"/>
        <v>1.3189045404589503</v>
      </c>
    </row>
    <row r="63" spans="1:101" x14ac:dyDescent="0.2">
      <c r="A63" s="96" t="s">
        <v>77</v>
      </c>
      <c r="B63" s="86">
        <f t="shared" ref="B63:AH63" si="149">IFERROR(B16/B12,0)</f>
        <v>0.21068474660170394</v>
      </c>
      <c r="C63" s="86">
        <f t="shared" si="149"/>
        <v>0.2062777434541905</v>
      </c>
      <c r="D63" s="86">
        <f t="shared" si="149"/>
        <v>0.62447395138066786</v>
      </c>
      <c r="E63" s="86">
        <f t="shared" si="149"/>
        <v>0.40971471250268904</v>
      </c>
      <c r="F63" s="86">
        <f t="shared" si="149"/>
        <v>0.3488244964536874</v>
      </c>
      <c r="G63" s="86">
        <f t="shared" si="149"/>
        <v>0.59609678871147809</v>
      </c>
      <c r="H63" s="86">
        <f t="shared" si="149"/>
        <v>0.44343248058066664</v>
      </c>
      <c r="I63" s="86">
        <f t="shared" si="149"/>
        <v>0.39485852229620505</v>
      </c>
      <c r="J63" s="86">
        <f t="shared" si="149"/>
        <v>0.19154740453126692</v>
      </c>
      <c r="K63" s="86">
        <f t="shared" si="149"/>
        <v>0.25953906027225654</v>
      </c>
      <c r="L63" s="86">
        <f t="shared" si="149"/>
        <v>0.76788276303842895</v>
      </c>
      <c r="M63" s="86">
        <f t="shared" si="149"/>
        <v>0.70334083997661023</v>
      </c>
      <c r="N63" s="86">
        <f t="shared" si="149"/>
        <v>0.34093236776500585</v>
      </c>
      <c r="O63" s="86">
        <f t="shared" si="149"/>
        <v>0.22531998657457669</v>
      </c>
      <c r="P63" s="86">
        <f t="shared" si="149"/>
        <v>0.37886657309834004</v>
      </c>
      <c r="Q63" s="86">
        <f t="shared" si="149"/>
        <v>0.54134527610807703</v>
      </c>
      <c r="R63" s="86">
        <f t="shared" si="149"/>
        <v>0.44343248058066664</v>
      </c>
      <c r="S63" s="86">
        <f t="shared" si="149"/>
        <v>0.39485852229620505</v>
      </c>
      <c r="T63" s="86">
        <f t="shared" si="149"/>
        <v>0.20424321181538049</v>
      </c>
      <c r="U63" s="86">
        <f t="shared" si="149"/>
        <v>0.19934140819723065</v>
      </c>
      <c r="V63" s="86"/>
      <c r="W63" s="86">
        <f t="shared" si="149"/>
        <v>0.29684451239838394</v>
      </c>
      <c r="X63" s="86">
        <f t="shared" si="149"/>
        <v>8.5720663833181374E-2</v>
      </c>
      <c r="Y63" s="86">
        <f t="shared" si="149"/>
        <v>0.26697539675754006</v>
      </c>
      <c r="Z63" s="86">
        <f t="shared" si="149"/>
        <v>0.51344049585646767</v>
      </c>
      <c r="AA63" s="86">
        <f t="shared" si="149"/>
        <v>0</v>
      </c>
      <c r="AB63" s="86">
        <f t="shared" si="149"/>
        <v>0</v>
      </c>
      <c r="AC63" s="86">
        <f t="shared" si="149"/>
        <v>0.21777841777667359</v>
      </c>
      <c r="AD63" s="86">
        <f t="shared" si="149"/>
        <v>0.24530592838698675</v>
      </c>
      <c r="AE63" s="86">
        <f t="shared" si="149"/>
        <v>0.40616033219441056</v>
      </c>
      <c r="AF63" s="86">
        <f t="shared" si="149"/>
        <v>0.38242170751350624</v>
      </c>
      <c r="AG63" s="86">
        <f t="shared" si="149"/>
        <v>0.37875437367951764</v>
      </c>
      <c r="AH63" s="86">
        <f t="shared" si="149"/>
        <v>0.23217456334001604</v>
      </c>
      <c r="AI63" s="86">
        <f t="shared" ref="AI63:BJ63" si="150">IFERROR(AI16/AI12,0)</f>
        <v>0.57799990920678856</v>
      </c>
      <c r="AJ63" s="86">
        <f t="shared" si="150"/>
        <v>0.54898351980064242</v>
      </c>
      <c r="AK63" s="86">
        <f t="shared" si="150"/>
        <v>0.59521362123600174</v>
      </c>
      <c r="AL63" s="86">
        <f t="shared" si="150"/>
        <v>0.57829391039692313</v>
      </c>
      <c r="AM63" s="86">
        <f t="shared" si="150"/>
        <v>0.39455675135279139</v>
      </c>
      <c r="AN63" s="86">
        <f t="shared" si="150"/>
        <v>0.34245740635529848</v>
      </c>
      <c r="AO63" s="86">
        <f t="shared" si="150"/>
        <v>0.8158511575999261</v>
      </c>
      <c r="AP63" s="86">
        <f t="shared" si="150"/>
        <v>1.4312514793808193</v>
      </c>
      <c r="AQ63" s="86">
        <f t="shared" si="150"/>
        <v>0.39684434537135727</v>
      </c>
      <c r="AR63" s="86">
        <f t="shared" si="150"/>
        <v>0.57457301038201314</v>
      </c>
      <c r="AS63" s="86">
        <f t="shared" si="150"/>
        <v>0.29553748158541765</v>
      </c>
      <c r="AT63" s="86">
        <f t="shared" si="150"/>
        <v>0.83476768893186937</v>
      </c>
      <c r="AU63" s="86">
        <f t="shared" si="150"/>
        <v>7.8884483327980315E-2</v>
      </c>
      <c r="AV63" s="86">
        <f t="shared" si="150"/>
        <v>0.28615952834883834</v>
      </c>
      <c r="AW63" s="86">
        <f t="shared" si="150"/>
        <v>0.29997112972736767</v>
      </c>
      <c r="AX63" s="86">
        <f t="shared" si="150"/>
        <v>0.19608439710505829</v>
      </c>
      <c r="AY63" s="86">
        <f t="shared" si="150"/>
        <v>0.24864860644765313</v>
      </c>
      <c r="AZ63" s="86">
        <f t="shared" si="150"/>
        <v>0.22292483338078239</v>
      </c>
      <c r="BA63" s="86">
        <f t="shared" si="150"/>
        <v>0.76844285315728666</v>
      </c>
      <c r="BB63" s="86">
        <f t="shared" si="150"/>
        <v>0.72107775865308976</v>
      </c>
      <c r="BC63" s="86">
        <f t="shared" si="150"/>
        <v>0.47160270982390018</v>
      </c>
      <c r="BD63" s="86">
        <f t="shared" si="150"/>
        <v>0.40580152624478028</v>
      </c>
      <c r="BE63" s="86">
        <f t="shared" si="150"/>
        <v>0.91946887342646488</v>
      </c>
      <c r="BF63" s="86">
        <f t="shared" si="150"/>
        <v>1.0428000750630768</v>
      </c>
      <c r="BG63" s="86">
        <f t="shared" si="150"/>
        <v>0.98335525210449171</v>
      </c>
      <c r="BH63" s="86">
        <f t="shared" si="150"/>
        <v>0.98257718202219935</v>
      </c>
      <c r="BI63" s="86">
        <f t="shared" si="150"/>
        <v>7.6864831785249374E-2</v>
      </c>
      <c r="BJ63" s="86">
        <f t="shared" si="150"/>
        <v>0.24631180013978457</v>
      </c>
      <c r="BK63" s="86"/>
      <c r="BL63" s="86">
        <f t="shared" ref="BL63:CW63" si="151">IFERROR(BL16/BL12,0)</f>
        <v>4.7096432966010182E-2</v>
      </c>
      <c r="BM63" s="86">
        <f t="shared" si="151"/>
        <v>0.24750457356405858</v>
      </c>
      <c r="BN63" s="86">
        <f t="shared" si="151"/>
        <v>0.47202441081242646</v>
      </c>
      <c r="BO63" s="86">
        <f t="shared" si="151"/>
        <v>0.68312082569606614</v>
      </c>
      <c r="BP63" s="86">
        <f t="shared" si="151"/>
        <v>0.56611617726663599</v>
      </c>
      <c r="BQ63" s="86">
        <f t="shared" si="151"/>
        <v>0</v>
      </c>
      <c r="BR63" s="86">
        <f t="shared" si="151"/>
        <v>0.46139366952734595</v>
      </c>
      <c r="BS63" s="86">
        <f t="shared" si="151"/>
        <v>0</v>
      </c>
      <c r="BT63" s="86">
        <f t="shared" si="151"/>
        <v>2.5323322877154029E-2</v>
      </c>
      <c r="BU63" s="86">
        <f t="shared" si="151"/>
        <v>0.96527993247081023</v>
      </c>
      <c r="BV63" s="86">
        <f t="shared" si="151"/>
        <v>0.85278682711893028</v>
      </c>
      <c r="BW63" s="86">
        <f t="shared" si="151"/>
        <v>0.22232051535007796</v>
      </c>
      <c r="BX63" s="86">
        <f t="shared" si="151"/>
        <v>0.12850610123253617</v>
      </c>
      <c r="BY63" s="86">
        <f t="shared" si="151"/>
        <v>0.65252361257982183</v>
      </c>
      <c r="BZ63" s="86">
        <f t="shared" si="151"/>
        <v>0.62998595360369458</v>
      </c>
      <c r="CA63" s="86">
        <f t="shared" ref="CA63:CS63" si="152">IFERROR(CA16/CA12,0)</f>
        <v>0.6022735500687858</v>
      </c>
      <c r="CB63" s="86">
        <f t="shared" si="152"/>
        <v>0.57104174493181314</v>
      </c>
      <c r="CC63" s="86">
        <f t="shared" si="152"/>
        <v>0.24177333179312799</v>
      </c>
      <c r="CD63" s="86">
        <f t="shared" si="152"/>
        <v>0.17966335891511079</v>
      </c>
      <c r="CE63" s="86">
        <f t="shared" si="152"/>
        <v>0.68223529390718196</v>
      </c>
      <c r="CF63" s="86">
        <f t="shared" si="152"/>
        <v>0.73316924763152114</v>
      </c>
      <c r="CG63" s="86">
        <f t="shared" si="152"/>
        <v>6.7339381267940035E-2</v>
      </c>
      <c r="CH63" s="86">
        <f t="shared" si="152"/>
        <v>5.1741370031521489E-2</v>
      </c>
      <c r="CI63" s="86">
        <f t="shared" si="152"/>
        <v>0.98335525210449171</v>
      </c>
      <c r="CJ63" s="86">
        <f t="shared" si="152"/>
        <v>0.98257718202219935</v>
      </c>
      <c r="CK63" s="86">
        <f t="shared" si="152"/>
        <v>0.21321150826734772</v>
      </c>
      <c r="CL63" s="86">
        <f t="shared" si="152"/>
        <v>0.49530507804100171</v>
      </c>
      <c r="CM63" s="86">
        <f t="shared" si="152"/>
        <v>0.79625559837563864</v>
      </c>
      <c r="CN63" s="86">
        <f t="shared" si="152"/>
        <v>0.43750497956187634</v>
      </c>
      <c r="CO63" s="86"/>
      <c r="CP63" s="86">
        <f t="shared" si="152"/>
        <v>0.50050966040773204</v>
      </c>
      <c r="CQ63" s="86">
        <f t="shared" si="152"/>
        <v>0.53528813744459625</v>
      </c>
      <c r="CR63" s="86">
        <f t="shared" si="152"/>
        <v>0.34777086892603098</v>
      </c>
      <c r="CS63" s="86">
        <f t="shared" si="152"/>
        <v>0.39567386066971161</v>
      </c>
      <c r="CT63" s="86">
        <f t="shared" ref="CT63:CU63" si="153">IFERROR(CT16/CT12,0)</f>
        <v>8.7470339857960003E-2</v>
      </c>
      <c r="CU63" s="86">
        <f t="shared" si="153"/>
        <v>6.4842778205427581E-2</v>
      </c>
      <c r="CV63" s="86">
        <f t="shared" si="151"/>
        <v>0.70376925133252399</v>
      </c>
      <c r="CW63" s="86">
        <f t="shared" si="151"/>
        <v>0.68020392483822767</v>
      </c>
    </row>
    <row r="64" spans="1:101" x14ac:dyDescent="0.2">
      <c r="A64" s="207" t="s">
        <v>107</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c r="BX64" s="208"/>
      <c r="BY64" s="208"/>
      <c r="BZ64" s="208"/>
      <c r="CA64" s="208"/>
      <c r="CB64" s="208"/>
      <c r="CC64" s="208"/>
      <c r="CD64" s="208"/>
      <c r="CE64" s="208"/>
      <c r="CF64" s="208"/>
      <c r="CG64" s="208"/>
      <c r="CH64" s="208"/>
      <c r="CI64" s="208"/>
      <c r="CJ64" s="208"/>
      <c r="CK64" s="208"/>
      <c r="CL64" s="208"/>
      <c r="CM64" s="208"/>
      <c r="CN64" s="208"/>
      <c r="CO64" s="208"/>
      <c r="CP64" s="208"/>
      <c r="CQ64" s="208"/>
      <c r="CR64" s="208"/>
      <c r="CS64" s="208"/>
      <c r="CT64" s="208"/>
      <c r="CU64" s="208"/>
      <c r="CV64" s="208"/>
      <c r="CW64" s="208"/>
    </row>
    <row r="65" spans="1:101" x14ac:dyDescent="0.2">
      <c r="A65" s="96" t="s">
        <v>79</v>
      </c>
      <c r="B65" s="86">
        <f t="shared" ref="B65:AH65" si="154">IFERROR(B12/B16,0)</f>
        <v>4.7464280928247913</v>
      </c>
      <c r="C65" s="86">
        <f t="shared" si="154"/>
        <v>4.8478327484810633</v>
      </c>
      <c r="D65" s="86">
        <f t="shared" si="154"/>
        <v>1.6013478188947203</v>
      </c>
      <c r="E65" s="86">
        <f t="shared" si="154"/>
        <v>2.4407227016370245</v>
      </c>
      <c r="F65" s="86">
        <f t="shared" si="154"/>
        <v>2.8667711418391386</v>
      </c>
      <c r="G65" s="86">
        <f t="shared" si="154"/>
        <v>1.6775799147678658</v>
      </c>
      <c r="H65" s="86">
        <f t="shared" si="154"/>
        <v>2.2551347584879631</v>
      </c>
      <c r="I65" s="86">
        <f t="shared" si="154"/>
        <v>2.5325526575562809</v>
      </c>
      <c r="J65" s="86">
        <f t="shared" si="154"/>
        <v>5.2206397807743032</v>
      </c>
      <c r="K65" s="86">
        <f t="shared" si="154"/>
        <v>3.85298459103227</v>
      </c>
      <c r="L65" s="86">
        <f t="shared" si="154"/>
        <v>1.3022821296874907</v>
      </c>
      <c r="M65" s="86">
        <f t="shared" si="154"/>
        <v>1.4217857732152384</v>
      </c>
      <c r="N65" s="86">
        <f t="shared" si="154"/>
        <v>2.9331330625940129</v>
      </c>
      <c r="O65" s="86">
        <f t="shared" si="154"/>
        <v>4.4381326983126677</v>
      </c>
      <c r="P65" s="86">
        <f t="shared" si="154"/>
        <v>2.6394516460559747</v>
      </c>
      <c r="Q65" s="86">
        <f t="shared" si="154"/>
        <v>1.8472498867808622</v>
      </c>
      <c r="R65" s="86">
        <f t="shared" si="154"/>
        <v>2.2551347584879631</v>
      </c>
      <c r="S65" s="86">
        <f t="shared" si="154"/>
        <v>2.5325526575562809</v>
      </c>
      <c r="T65" s="86">
        <f t="shared" si="154"/>
        <v>4.8961235534423535</v>
      </c>
      <c r="U65" s="86">
        <f t="shared" si="154"/>
        <v>5.0165191920917334</v>
      </c>
      <c r="V65" s="86"/>
      <c r="W65" s="86">
        <f t="shared" si="154"/>
        <v>3.3687670084260724</v>
      </c>
      <c r="X65" s="86">
        <f t="shared" si="154"/>
        <v>11.665798598411142</v>
      </c>
      <c r="Y65" s="86">
        <f t="shared" si="154"/>
        <v>3.7456635036230455</v>
      </c>
      <c r="Z65" s="86">
        <f t="shared" si="154"/>
        <v>1.9476453611862163</v>
      </c>
      <c r="AA65" s="86">
        <f t="shared" si="154"/>
        <v>0</v>
      </c>
      <c r="AB65" s="86">
        <f t="shared" si="154"/>
        <v>0</v>
      </c>
      <c r="AC65" s="86">
        <f t="shared" si="154"/>
        <v>4.5918232403794734</v>
      </c>
      <c r="AD65" s="86">
        <f t="shared" si="154"/>
        <v>4.0765423264554457</v>
      </c>
      <c r="AE65" s="86">
        <f t="shared" si="154"/>
        <v>2.4620818941061562</v>
      </c>
      <c r="AF65" s="86">
        <f t="shared" si="154"/>
        <v>2.6149143219457081</v>
      </c>
      <c r="AG65" s="86">
        <f t="shared" si="154"/>
        <v>2.6402335378604715</v>
      </c>
      <c r="AH65" s="86">
        <f t="shared" si="154"/>
        <v>4.307104041089616</v>
      </c>
      <c r="AI65" s="86">
        <f t="shared" ref="AI65:BJ65" si="155">IFERROR(AI12/AI16,0)</f>
        <v>1.7301040779960299</v>
      </c>
      <c r="AJ65" s="86">
        <f t="shared" si="155"/>
        <v>1.8215483050623076</v>
      </c>
      <c r="AK65" s="86">
        <f t="shared" si="155"/>
        <v>1.6800690782637528</v>
      </c>
      <c r="AL65" s="86">
        <f t="shared" si="155"/>
        <v>1.7292245033561409</v>
      </c>
      <c r="AM65" s="86">
        <f t="shared" si="155"/>
        <v>2.5344896433057205</v>
      </c>
      <c r="AN65" s="86">
        <f t="shared" si="155"/>
        <v>2.9200711721868942</v>
      </c>
      <c r="AO65" s="86">
        <f t="shared" si="155"/>
        <v>1.225713772279007</v>
      </c>
      <c r="AP65" s="86">
        <f t="shared" si="155"/>
        <v>0.69868923414675865</v>
      </c>
      <c r="AQ65" s="86">
        <f t="shared" si="155"/>
        <v>2.5198796748992969</v>
      </c>
      <c r="AR65" s="86">
        <f t="shared" si="155"/>
        <v>1.740422856505452</v>
      </c>
      <c r="AS65" s="86">
        <f t="shared" si="155"/>
        <v>3.3836655663284296</v>
      </c>
      <c r="AT65" s="86">
        <f t="shared" si="155"/>
        <v>1.1979380769751096</v>
      </c>
      <c r="AU65" s="86">
        <f t="shared" si="155"/>
        <v>12.676764273681947</v>
      </c>
      <c r="AV65" s="86">
        <f t="shared" si="155"/>
        <v>3.4945542640850507</v>
      </c>
      <c r="AW65" s="86">
        <f t="shared" si="155"/>
        <v>3.333654145013428</v>
      </c>
      <c r="AX65" s="86">
        <f t="shared" si="155"/>
        <v>5.0998448360183346</v>
      </c>
      <c r="AY65" s="86">
        <f t="shared" si="155"/>
        <v>4.0217398130100737</v>
      </c>
      <c r="AZ65" s="86">
        <f t="shared" si="155"/>
        <v>4.4858169672459951</v>
      </c>
      <c r="BA65" s="86">
        <f t="shared" si="155"/>
        <v>1.3013329434860625</v>
      </c>
      <c r="BB65" s="86">
        <f t="shared" si="155"/>
        <v>1.3868129865327044</v>
      </c>
      <c r="BC65" s="86">
        <f t="shared" si="155"/>
        <v>2.1204288677081755</v>
      </c>
      <c r="BD65" s="86">
        <f t="shared" si="155"/>
        <v>2.4642588441049829</v>
      </c>
      <c r="BE65" s="86">
        <f t="shared" si="155"/>
        <v>1.0875843967109298</v>
      </c>
      <c r="BF65" s="86">
        <f t="shared" si="155"/>
        <v>0.95895658613134649</v>
      </c>
      <c r="BG65" s="86">
        <f t="shared" si="155"/>
        <v>1.016926484970601</v>
      </c>
      <c r="BH65" s="86">
        <f t="shared" si="155"/>
        <v>1.0177317551196778</v>
      </c>
      <c r="BI65" s="86">
        <f t="shared" si="155"/>
        <v>13.00985088725457</v>
      </c>
      <c r="BJ65" s="86">
        <f t="shared" si="155"/>
        <v>4.0598948139410673</v>
      </c>
      <c r="BK65" s="86"/>
      <c r="BL65" s="86">
        <f t="shared" ref="BL65:CW65" si="156">IFERROR(BL12/BL16,0)</f>
        <v>21.2330305507788</v>
      </c>
      <c r="BM65" s="86">
        <f t="shared" si="156"/>
        <v>4.0403293789687575</v>
      </c>
      <c r="BN65" s="86">
        <f t="shared" si="156"/>
        <v>2.1185345018043593</v>
      </c>
      <c r="BO65" s="86">
        <f t="shared" si="156"/>
        <v>1.4638698783352855</v>
      </c>
      <c r="BP65" s="86">
        <f t="shared" si="156"/>
        <v>1.7664218762097104</v>
      </c>
      <c r="BQ65" s="86">
        <f t="shared" si="156"/>
        <v>0</v>
      </c>
      <c r="BR65" s="86">
        <f t="shared" si="156"/>
        <v>2.1673465980242104</v>
      </c>
      <c r="BS65" s="86">
        <f t="shared" si="156"/>
        <v>0</v>
      </c>
      <c r="BT65" s="86">
        <f t="shared" si="156"/>
        <v>39.489288386484667</v>
      </c>
      <c r="BU65" s="86">
        <f t="shared" si="156"/>
        <v>1.0359689105318055</v>
      </c>
      <c r="BV65" s="86">
        <f t="shared" si="156"/>
        <v>1.1726259930379286</v>
      </c>
      <c r="BW65" s="86">
        <f t="shared" si="156"/>
        <v>4.4980104441794122</v>
      </c>
      <c r="BX65" s="86">
        <f t="shared" si="156"/>
        <v>7.7817316875131537</v>
      </c>
      <c r="BY65" s="86">
        <f t="shared" si="156"/>
        <v>1.5325115914907557</v>
      </c>
      <c r="BZ65" s="86">
        <f t="shared" si="156"/>
        <v>1.5873369783559814</v>
      </c>
      <c r="CA65" s="86">
        <f t="shared" ref="CA65:CS65" si="157">IFERROR(CA12/CA16,0)</f>
        <v>1.6603750901659053</v>
      </c>
      <c r="CB65" s="86">
        <f t="shared" si="157"/>
        <v>1.7511854586382434</v>
      </c>
      <c r="CC65" s="86">
        <f t="shared" si="157"/>
        <v>4.1361054694636232</v>
      </c>
      <c r="CD65" s="86">
        <f t="shared" si="157"/>
        <v>5.5659651808719133</v>
      </c>
      <c r="CE65" s="86">
        <f t="shared" si="157"/>
        <v>1.4657699607901697</v>
      </c>
      <c r="CF65" s="86">
        <f t="shared" si="157"/>
        <v>1.3639415499633498</v>
      </c>
      <c r="CG65" s="86">
        <f t="shared" si="157"/>
        <v>14.850151295882121</v>
      </c>
      <c r="CH65" s="86">
        <f t="shared" si="157"/>
        <v>19.326894502228825</v>
      </c>
      <c r="CI65" s="86">
        <f t="shared" si="157"/>
        <v>1.016926484970601</v>
      </c>
      <c r="CJ65" s="86">
        <f t="shared" si="157"/>
        <v>1.0177317551196778</v>
      </c>
      <c r="CK65" s="86">
        <f t="shared" si="157"/>
        <v>4.6901783497825615</v>
      </c>
      <c r="CL65" s="86">
        <f t="shared" si="157"/>
        <v>2.0189576976580468</v>
      </c>
      <c r="CM65" s="86">
        <f t="shared" si="157"/>
        <v>1.2558781401851364</v>
      </c>
      <c r="CN65" s="86">
        <f t="shared" si="157"/>
        <v>2.2856882703401777</v>
      </c>
      <c r="CO65" s="86"/>
      <c r="CP65" s="86">
        <f t="shared" si="157"/>
        <v>1.9979634342828991</v>
      </c>
      <c r="CQ65" s="86">
        <f t="shared" si="157"/>
        <v>1.8681527387733352</v>
      </c>
      <c r="CR65" s="86">
        <f t="shared" si="157"/>
        <v>2.8754564840009493</v>
      </c>
      <c r="CS65" s="86">
        <f t="shared" si="157"/>
        <v>2.5273339975186007</v>
      </c>
      <c r="CT65" s="86">
        <f t="shared" ref="CT65:CU65" si="158">IFERROR(CT12/CT16,0)</f>
        <v>11.432446719926602</v>
      </c>
      <c r="CU65" s="86">
        <f t="shared" si="158"/>
        <v>15.421917870821524</v>
      </c>
      <c r="CV65" s="86">
        <f t="shared" si="156"/>
        <v>1.4209202776429768</v>
      </c>
      <c r="CW65" s="86">
        <f t="shared" si="156"/>
        <v>1.4701473535863956</v>
      </c>
    </row>
    <row r="66" spans="1:101" x14ac:dyDescent="0.2">
      <c r="A66" s="96" t="s">
        <v>80</v>
      </c>
      <c r="B66" s="86">
        <f t="shared" ref="B66:AH66" si="159">IFERROR(B12/B14,0)</f>
        <v>4.7464280928247913</v>
      </c>
      <c r="C66" s="86">
        <f t="shared" si="159"/>
        <v>4.8478327484810633</v>
      </c>
      <c r="D66" s="86">
        <f t="shared" si="159"/>
        <v>4.7229558941015304</v>
      </c>
      <c r="E66" s="86">
        <f t="shared" si="159"/>
        <v>14.264879529030129</v>
      </c>
      <c r="F66" s="86">
        <f t="shared" si="159"/>
        <v>5.8781959091794809</v>
      </c>
      <c r="G66" s="86">
        <f t="shared" si="159"/>
        <v>3.4755327081931719</v>
      </c>
      <c r="H66" s="86">
        <f t="shared" si="159"/>
        <v>5.7878164461806136</v>
      </c>
      <c r="I66" s="86">
        <f t="shared" si="159"/>
        <v>3.9563694186790572</v>
      </c>
      <c r="J66" s="86">
        <f t="shared" si="159"/>
        <v>5.2355234958024734</v>
      </c>
      <c r="K66" s="86">
        <f t="shared" si="159"/>
        <v>3.8727874091540473</v>
      </c>
      <c r="L66" s="86">
        <f t="shared" si="159"/>
        <v>1.4846393523919379</v>
      </c>
      <c r="M66" s="86">
        <f t="shared" si="159"/>
        <v>1.631343038213902</v>
      </c>
      <c r="N66" s="86">
        <f t="shared" si="159"/>
        <v>3.9062666176492944</v>
      </c>
      <c r="O66" s="86">
        <f t="shared" si="159"/>
        <v>5.1025076239886689</v>
      </c>
      <c r="P66" s="86">
        <f t="shared" si="159"/>
        <v>2.9623488153625956</v>
      </c>
      <c r="Q66" s="86">
        <f t="shared" si="159"/>
        <v>2.8992899866445159</v>
      </c>
      <c r="R66" s="86">
        <f t="shared" si="159"/>
        <v>5.7878164461806136</v>
      </c>
      <c r="S66" s="86">
        <f t="shared" si="159"/>
        <v>3.9563694186790572</v>
      </c>
      <c r="T66" s="86">
        <f t="shared" si="159"/>
        <v>6.857733229983844</v>
      </c>
      <c r="U66" s="86">
        <f t="shared" si="159"/>
        <v>7.2287426343125691</v>
      </c>
      <c r="V66" s="86"/>
      <c r="W66" s="86">
        <f t="shared" si="159"/>
        <v>6.8795560176125248</v>
      </c>
      <c r="X66" s="86">
        <f t="shared" si="159"/>
        <v>40.65512670167746</v>
      </c>
      <c r="Y66" s="86">
        <f t="shared" si="159"/>
        <v>19.845494566141451</v>
      </c>
      <c r="Z66" s="86">
        <f t="shared" si="159"/>
        <v>1.9896518787821649</v>
      </c>
      <c r="AA66" s="86">
        <f t="shared" si="159"/>
        <v>0</v>
      </c>
      <c r="AB66" s="86">
        <f t="shared" si="159"/>
        <v>0</v>
      </c>
      <c r="AC66" s="86">
        <f t="shared" si="159"/>
        <v>5.3174166393286146</v>
      </c>
      <c r="AD66" s="86">
        <f t="shared" si="159"/>
        <v>4.8745840402276945</v>
      </c>
      <c r="AE66" s="86">
        <f t="shared" si="159"/>
        <v>3.1071292932590429</v>
      </c>
      <c r="AF66" s="86">
        <f t="shared" si="159"/>
        <v>4.3972980814688869</v>
      </c>
      <c r="AG66" s="86">
        <f t="shared" si="159"/>
        <v>2.8715214269481431</v>
      </c>
      <c r="AH66" s="86">
        <f t="shared" si="159"/>
        <v>4.8424301631550195</v>
      </c>
      <c r="AI66" s="86">
        <f t="shared" ref="AI66:BJ66" si="160">IFERROR(AI12/AI14,0)</f>
        <v>2.4428173156574391</v>
      </c>
      <c r="AJ66" s="86">
        <f t="shared" si="160"/>
        <v>2.3855004843539822</v>
      </c>
      <c r="AK66" s="86">
        <f t="shared" si="160"/>
        <v>3.4070953209463082</v>
      </c>
      <c r="AL66" s="86">
        <f t="shared" si="160"/>
        <v>4.1098423656721428</v>
      </c>
      <c r="AM66" s="86">
        <f t="shared" si="160"/>
        <v>3.4605349678655806</v>
      </c>
      <c r="AN66" s="86">
        <f t="shared" si="160"/>
        <v>4.0543147247556748</v>
      </c>
      <c r="AO66" s="86">
        <f t="shared" si="160"/>
        <v>1.2358353510895883</v>
      </c>
      <c r="AP66" s="86">
        <f t="shared" si="160"/>
        <v>0.69869717275219767</v>
      </c>
      <c r="AQ66" s="86">
        <f t="shared" si="160"/>
        <v>3.3746331003547367</v>
      </c>
      <c r="AR66" s="86">
        <f t="shared" si="160"/>
        <v>2.3918288018376481</v>
      </c>
      <c r="AS66" s="86">
        <f t="shared" si="160"/>
        <v>14.352150471679801</v>
      </c>
      <c r="AT66" s="86">
        <f t="shared" si="160"/>
        <v>8.0012261185052012</v>
      </c>
      <c r="AU66" s="86">
        <f t="shared" si="160"/>
        <v>12.676764273681947</v>
      </c>
      <c r="AV66" s="86">
        <f t="shared" si="160"/>
        <v>3.4945542640850507</v>
      </c>
      <c r="AW66" s="86">
        <f t="shared" si="160"/>
        <v>3.4212461477582545</v>
      </c>
      <c r="AX66" s="86">
        <f t="shared" si="160"/>
        <v>5.1390817376850322</v>
      </c>
      <c r="AY66" s="86">
        <f t="shared" si="160"/>
        <v>58.563394647065032</v>
      </c>
      <c r="AZ66" s="86">
        <f t="shared" si="160"/>
        <v>40.232702709317408</v>
      </c>
      <c r="BA66" s="86">
        <f t="shared" si="160"/>
        <v>9.564331607285629</v>
      </c>
      <c r="BB66" s="86">
        <f t="shared" si="160"/>
        <v>9.7789687789999817</v>
      </c>
      <c r="BC66" s="86">
        <f t="shared" si="160"/>
        <v>3.5913303996049679</v>
      </c>
      <c r="BD66" s="86">
        <f t="shared" si="160"/>
        <v>3.0732342477216572</v>
      </c>
      <c r="BE66" s="86">
        <f t="shared" si="160"/>
        <v>1.0875843967109298</v>
      </c>
      <c r="BF66" s="86">
        <f t="shared" si="160"/>
        <v>0.95895658613134649</v>
      </c>
      <c r="BG66" s="86">
        <f t="shared" si="160"/>
        <v>9.2441623821765209</v>
      </c>
      <c r="BH66" s="86">
        <f t="shared" si="160"/>
        <v>5.903235912813857</v>
      </c>
      <c r="BI66" s="86">
        <f t="shared" si="160"/>
        <v>13.00985088725457</v>
      </c>
      <c r="BJ66" s="86">
        <f t="shared" si="160"/>
        <v>4.0598948139410673</v>
      </c>
      <c r="BK66" s="86"/>
      <c r="BL66" s="86">
        <f t="shared" ref="BL66:CW66" si="161">IFERROR(BL12/BL14,0)</f>
        <v>21.2330305507788</v>
      </c>
      <c r="BM66" s="86">
        <f t="shared" si="161"/>
        <v>4.1748519393321661</v>
      </c>
      <c r="BN66" s="86">
        <f t="shared" si="161"/>
        <v>4.0836755839971373</v>
      </c>
      <c r="BO66" s="86">
        <f t="shared" si="161"/>
        <v>2.7114093108749024</v>
      </c>
      <c r="BP66" s="86">
        <f t="shared" si="161"/>
        <v>3.0589335799763115</v>
      </c>
      <c r="BQ66" s="86">
        <f t="shared" si="161"/>
        <v>0</v>
      </c>
      <c r="BR66" s="86">
        <f t="shared" si="161"/>
        <v>2.1673465980242104</v>
      </c>
      <c r="BS66" s="86">
        <f t="shared" si="161"/>
        <v>0</v>
      </c>
      <c r="BT66" s="86">
        <f t="shared" si="161"/>
        <v>39.489288386484667</v>
      </c>
      <c r="BU66" s="86">
        <f t="shared" si="161"/>
        <v>2.8500114419200888</v>
      </c>
      <c r="BV66" s="86">
        <f t="shared" si="161"/>
        <v>4.2324122779166276</v>
      </c>
      <c r="BW66" s="86">
        <f t="shared" si="161"/>
        <v>4.7588455664934273</v>
      </c>
      <c r="BX66" s="86">
        <f t="shared" si="161"/>
        <v>7.8983129688460183</v>
      </c>
      <c r="BY66" s="86">
        <f t="shared" si="161"/>
        <v>5.6805983351467386</v>
      </c>
      <c r="BZ66" s="86">
        <f t="shared" si="161"/>
        <v>4.5004956516059718</v>
      </c>
      <c r="CA66" s="86">
        <f t="shared" ref="CA66:CS66" si="162">IFERROR(CA12/CA14,0)</f>
        <v>3.6129449471130801</v>
      </c>
      <c r="CB66" s="86">
        <f t="shared" si="162"/>
        <v>5.1625619216749232</v>
      </c>
      <c r="CC66" s="86">
        <f t="shared" si="162"/>
        <v>9.0698492524704619</v>
      </c>
      <c r="CD66" s="86">
        <f t="shared" si="162"/>
        <v>12.07874052146391</v>
      </c>
      <c r="CE66" s="86">
        <f t="shared" si="162"/>
        <v>7.9982623708433751</v>
      </c>
      <c r="CF66" s="86">
        <f t="shared" si="162"/>
        <v>7.6300997807879769</v>
      </c>
      <c r="CG66" s="86">
        <f t="shared" si="162"/>
        <v>14.850151295882121</v>
      </c>
      <c r="CH66" s="86">
        <f t="shared" si="162"/>
        <v>19.326894502228825</v>
      </c>
      <c r="CI66" s="86">
        <f t="shared" si="162"/>
        <v>9.2441623821765209</v>
      </c>
      <c r="CJ66" s="86">
        <f t="shared" si="162"/>
        <v>5.903235912813857</v>
      </c>
      <c r="CK66" s="86">
        <f t="shared" si="162"/>
        <v>4.8561110145290618</v>
      </c>
      <c r="CL66" s="86">
        <f t="shared" si="162"/>
        <v>2.0387345662875642</v>
      </c>
      <c r="CM66" s="86">
        <f t="shared" si="162"/>
        <v>7.0868946823639503</v>
      </c>
      <c r="CN66" s="86">
        <f t="shared" si="162"/>
        <v>4.9875202569400781</v>
      </c>
      <c r="CO66" s="86"/>
      <c r="CP66" s="86">
        <f t="shared" si="162"/>
        <v>5.6294890269431148</v>
      </c>
      <c r="CQ66" s="86">
        <f t="shared" si="162"/>
        <v>4.2502496826871257</v>
      </c>
      <c r="CR66" s="86">
        <f t="shared" si="162"/>
        <v>3.3553683700803938</v>
      </c>
      <c r="CS66" s="86">
        <f t="shared" si="162"/>
        <v>3.6015899398615479</v>
      </c>
      <c r="CT66" s="86">
        <f t="shared" ref="CT66:CU66" si="163">IFERROR(CT12/CT14,0)</f>
        <v>11.432446719926602</v>
      </c>
      <c r="CU66" s="86">
        <f t="shared" si="163"/>
        <v>15.421917870821524</v>
      </c>
      <c r="CV66" s="86">
        <f t="shared" si="161"/>
        <v>4.8216109648380963</v>
      </c>
      <c r="CW66" s="86">
        <f t="shared" si="161"/>
        <v>3.8696181795950286</v>
      </c>
    </row>
    <row r="67" spans="1:101" x14ac:dyDescent="0.2">
      <c r="A67" s="207" t="s">
        <v>108</v>
      </c>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208"/>
      <c r="CC67" s="208"/>
      <c r="CD67" s="208"/>
      <c r="CE67" s="208"/>
      <c r="CF67" s="208"/>
      <c r="CG67" s="208"/>
      <c r="CH67" s="208"/>
      <c r="CI67" s="208"/>
      <c r="CJ67" s="208"/>
      <c r="CK67" s="208"/>
      <c r="CL67" s="208"/>
      <c r="CM67" s="208"/>
      <c r="CN67" s="208"/>
      <c r="CO67" s="208"/>
      <c r="CP67" s="208"/>
      <c r="CQ67" s="208"/>
      <c r="CR67" s="208"/>
      <c r="CS67" s="208"/>
      <c r="CT67" s="208"/>
      <c r="CU67" s="208"/>
      <c r="CV67" s="208"/>
      <c r="CW67" s="208"/>
    </row>
    <row r="68" spans="1:101" x14ac:dyDescent="0.2">
      <c r="A68" s="96" t="s">
        <v>82</v>
      </c>
      <c r="B68" s="86">
        <f t="shared" ref="B68:AH68" si="164">IFERROR(B11/B15,0)</f>
        <v>0</v>
      </c>
      <c r="C68" s="86">
        <f t="shared" si="164"/>
        <v>0</v>
      </c>
      <c r="D68" s="86">
        <f t="shared" si="164"/>
        <v>1.5779537819774294</v>
      </c>
      <c r="E68" s="86">
        <f t="shared" si="164"/>
        <v>1.7136491284464166</v>
      </c>
      <c r="F68" s="86">
        <f t="shared" si="164"/>
        <v>2.243016644838709</v>
      </c>
      <c r="G68" s="86">
        <f t="shared" si="164"/>
        <v>2.2392833804882462</v>
      </c>
      <c r="H68" s="86">
        <f t="shared" si="164"/>
        <v>0.24125509554969368</v>
      </c>
      <c r="I68" s="86">
        <f t="shared" si="164"/>
        <v>0.50573410807611918</v>
      </c>
      <c r="J68" s="86">
        <f t="shared" si="164"/>
        <v>1025.6967203080837</v>
      </c>
      <c r="K68" s="86">
        <f t="shared" si="164"/>
        <v>382.3796253346012</v>
      </c>
      <c r="L68" s="86">
        <f t="shared" si="164"/>
        <v>2.5919276354689793</v>
      </c>
      <c r="M68" s="86">
        <f t="shared" si="164"/>
        <v>2.8893198308551713</v>
      </c>
      <c r="N68" s="86">
        <f t="shared" si="164"/>
        <v>7.9840435697466603</v>
      </c>
      <c r="O68" s="86">
        <f t="shared" si="164"/>
        <v>23.232897958917338</v>
      </c>
      <c r="P68" s="86">
        <f t="shared" si="164"/>
        <v>8.2679721450708019</v>
      </c>
      <c r="Q68" s="86">
        <f t="shared" si="164"/>
        <v>2.2706818015785482</v>
      </c>
      <c r="R68" s="86">
        <f t="shared" si="164"/>
        <v>0.24125509554969368</v>
      </c>
      <c r="S68" s="86">
        <f t="shared" si="164"/>
        <v>0.50573410807611918</v>
      </c>
      <c r="T68" s="86">
        <f t="shared" si="164"/>
        <v>12.666855944099277</v>
      </c>
      <c r="U68" s="86">
        <f t="shared" si="164"/>
        <v>14.770896267424842</v>
      </c>
      <c r="V68" s="86"/>
      <c r="W68" s="86">
        <f t="shared" si="164"/>
        <v>6.3130029120302789</v>
      </c>
      <c r="X68" s="86">
        <f t="shared" si="164"/>
        <v>14.909208420534286</v>
      </c>
      <c r="Y68" s="86">
        <f t="shared" si="164"/>
        <v>4.0080914090301887</v>
      </c>
      <c r="Z68" s="86">
        <f t="shared" si="164"/>
        <v>45.619860119305415</v>
      </c>
      <c r="AA68" s="86">
        <f t="shared" si="164"/>
        <v>0</v>
      </c>
      <c r="AB68" s="86">
        <f t="shared" si="164"/>
        <v>0</v>
      </c>
      <c r="AC68" s="86">
        <f t="shared" si="164"/>
        <v>16.206221601413137</v>
      </c>
      <c r="AD68" s="86">
        <f t="shared" si="164"/>
        <v>12.461022378901959</v>
      </c>
      <c r="AE68" s="86">
        <f t="shared" si="164"/>
        <v>7.9867066485514231</v>
      </c>
      <c r="AF68" s="86">
        <f t="shared" si="164"/>
        <v>4.8291339713902142</v>
      </c>
      <c r="AG68" s="86">
        <f t="shared" si="164"/>
        <v>14.9930208219929</v>
      </c>
      <c r="AH68" s="86">
        <f t="shared" si="164"/>
        <v>20.897680274069671</v>
      </c>
      <c r="AI68" s="86">
        <f t="shared" ref="AI68:BJ68" si="165">IFERROR(AI11/AI15,0)</f>
        <v>2.9879908877851586</v>
      </c>
      <c r="AJ68" s="86">
        <f t="shared" si="165"/>
        <v>4.3043084990730343</v>
      </c>
      <c r="AK68" s="86">
        <f t="shared" si="165"/>
        <v>2.1942632638450061</v>
      </c>
      <c r="AL68" s="86">
        <f t="shared" si="165"/>
        <v>1.8692592319410168</v>
      </c>
      <c r="AM68" s="86">
        <f t="shared" si="165"/>
        <v>7.9109300390681518</v>
      </c>
      <c r="AN68" s="86">
        <f t="shared" si="165"/>
        <v>7.2711527115271153</v>
      </c>
      <c r="AO68" s="86">
        <f t="shared" si="165"/>
        <v>30.748537234042555</v>
      </c>
      <c r="AP68" s="86">
        <f t="shared" si="165"/>
        <v>748.5</v>
      </c>
      <c r="AQ68" s="86">
        <f t="shared" si="165"/>
        <v>4.8643013151634173</v>
      </c>
      <c r="AR68" s="86">
        <f t="shared" si="165"/>
        <v>3.9730772373243366</v>
      </c>
      <c r="AS68" s="86">
        <f t="shared" si="165"/>
        <v>3.9580086786080693</v>
      </c>
      <c r="AT68" s="86">
        <f t="shared" si="165"/>
        <v>1.1646974526705984</v>
      </c>
      <c r="AU68" s="86">
        <f t="shared" si="165"/>
        <v>0</v>
      </c>
      <c r="AV68" s="86">
        <f t="shared" si="165"/>
        <v>0</v>
      </c>
      <c r="AW68" s="86">
        <f t="shared" si="165"/>
        <v>66.806415492786954</v>
      </c>
      <c r="AX68" s="86">
        <f t="shared" si="165"/>
        <v>234.29349196505942</v>
      </c>
      <c r="AY68" s="86">
        <f t="shared" si="165"/>
        <v>4.2006742738589216</v>
      </c>
      <c r="AZ68" s="86">
        <f t="shared" si="165"/>
        <v>4.8384582309582314</v>
      </c>
      <c r="BA68" s="86">
        <f t="shared" si="165"/>
        <v>1.4403053303447455</v>
      </c>
      <c r="BB68" s="86">
        <f t="shared" si="165"/>
        <v>1.4505844897225595</v>
      </c>
      <c r="BC68" s="86">
        <f t="shared" si="165"/>
        <v>3.312369057546078</v>
      </c>
      <c r="BD68" s="86">
        <f t="shared" si="165"/>
        <v>6.4426340053797633</v>
      </c>
      <c r="BE68" s="86">
        <f t="shared" si="165"/>
        <v>0</v>
      </c>
      <c r="BF68" s="86">
        <f t="shared" si="165"/>
        <v>0</v>
      </c>
      <c r="BG68" s="86">
        <f t="shared" si="165"/>
        <v>0.85339794256662826</v>
      </c>
      <c r="BH68" s="86">
        <f t="shared" si="165"/>
        <v>1.1029882056780569</v>
      </c>
      <c r="BI68" s="86">
        <f t="shared" si="165"/>
        <v>0</v>
      </c>
      <c r="BJ68" s="86">
        <f t="shared" si="165"/>
        <v>0</v>
      </c>
      <c r="BK68" s="86"/>
      <c r="BL68" s="86">
        <f t="shared" ref="BL68:CW68" si="166">IFERROR(BL11/BL15,0)</f>
        <v>0</v>
      </c>
      <c r="BM68" s="86">
        <f t="shared" si="166"/>
        <v>3.4305415940434303</v>
      </c>
      <c r="BN68" s="86">
        <f t="shared" si="166"/>
        <v>0.16578236264161092</v>
      </c>
      <c r="BO68" s="86">
        <f t="shared" si="166"/>
        <v>2.2834474192331609</v>
      </c>
      <c r="BP68" s="86">
        <f t="shared" si="166"/>
        <v>2.4733174047047113</v>
      </c>
      <c r="BQ68" s="86">
        <f t="shared" si="166"/>
        <v>0</v>
      </c>
      <c r="BR68" s="86">
        <f t="shared" si="166"/>
        <v>0</v>
      </c>
      <c r="BS68" s="86">
        <f t="shared" si="166"/>
        <v>0</v>
      </c>
      <c r="BT68" s="86">
        <f t="shared" si="166"/>
        <v>0</v>
      </c>
      <c r="BU68" s="86">
        <f t="shared" si="166"/>
        <v>1.2325294814092653</v>
      </c>
      <c r="BV68" s="86">
        <f t="shared" si="166"/>
        <v>1.3148960786857287</v>
      </c>
      <c r="BW68" s="86">
        <f t="shared" si="166"/>
        <v>63.277272625000002</v>
      </c>
      <c r="BX68" s="86">
        <f t="shared" si="166"/>
        <v>430.99299372759856</v>
      </c>
      <c r="BY68" s="86">
        <f t="shared" si="166"/>
        <v>2.012304638377421</v>
      </c>
      <c r="BZ68" s="86">
        <f t="shared" si="166"/>
        <v>2.3215938883574729</v>
      </c>
      <c r="CA68" s="86">
        <f t="shared" ref="CA68:CS68" si="167">IFERROR(CA11/CA15,0)</f>
        <v>1.7761404152847693</v>
      </c>
      <c r="CB68" s="86">
        <f t="shared" si="167"/>
        <v>1.7596057252011408</v>
      </c>
      <c r="CC68" s="86">
        <f t="shared" si="167"/>
        <v>1.7577039955555556</v>
      </c>
      <c r="CD68" s="86">
        <f t="shared" si="167"/>
        <v>2.0189184428571427</v>
      </c>
      <c r="CE68" s="86">
        <f t="shared" si="167"/>
        <v>1.3901561875672672</v>
      </c>
      <c r="CF68" s="86">
        <f t="shared" si="167"/>
        <v>1.3824220839593075</v>
      </c>
      <c r="CG68" s="86">
        <f t="shared" si="167"/>
        <v>0</v>
      </c>
      <c r="CH68" s="86">
        <f t="shared" si="167"/>
        <v>0</v>
      </c>
      <c r="CI68" s="86">
        <f t="shared" si="167"/>
        <v>0.85339794256662826</v>
      </c>
      <c r="CJ68" s="86">
        <f t="shared" si="167"/>
        <v>1.1029882056780569</v>
      </c>
      <c r="CK68" s="86">
        <f t="shared" si="167"/>
        <v>45.754920188827853</v>
      </c>
      <c r="CL68" s="86">
        <f t="shared" si="167"/>
        <v>37.26853988082128</v>
      </c>
      <c r="CM68" s="86">
        <f t="shared" si="167"/>
        <v>1.274224128051709</v>
      </c>
      <c r="CN68" s="86">
        <f t="shared" si="167"/>
        <v>3.5399311647062417</v>
      </c>
      <c r="CO68" s="86"/>
      <c r="CP68" s="86">
        <f t="shared" si="167"/>
        <v>2.2372766359699714</v>
      </c>
      <c r="CQ68" s="86">
        <f t="shared" si="167"/>
        <v>2.2553736251812069</v>
      </c>
      <c r="CR68" s="86">
        <f t="shared" si="167"/>
        <v>9.6375062118182537</v>
      </c>
      <c r="CS68" s="86">
        <f t="shared" si="167"/>
        <v>1.0817458089146774</v>
      </c>
      <c r="CT68" s="86">
        <f t="shared" ref="CT68:CU68" si="168">IFERROR(CT11/CT15,0)</f>
        <v>0</v>
      </c>
      <c r="CU68" s="86">
        <f t="shared" si="168"/>
        <v>0</v>
      </c>
      <c r="CV68" s="86">
        <f t="shared" si="166"/>
        <v>1.2953979039346926</v>
      </c>
      <c r="CW68" s="86">
        <f t="shared" si="166"/>
        <v>1.5985304791253854</v>
      </c>
    </row>
    <row r="69" spans="1:101" x14ac:dyDescent="0.2">
      <c r="A69" s="96" t="s">
        <v>83</v>
      </c>
      <c r="B69" s="86">
        <f t="shared" ref="B69:AH69" si="169">IFERROR(B12/B16,0)</f>
        <v>4.7464280928247913</v>
      </c>
      <c r="C69" s="86">
        <f t="shared" si="169"/>
        <v>4.8478327484810633</v>
      </c>
      <c r="D69" s="86">
        <f t="shared" si="169"/>
        <v>1.6013478188947203</v>
      </c>
      <c r="E69" s="86">
        <f t="shared" si="169"/>
        <v>2.4407227016370245</v>
      </c>
      <c r="F69" s="86">
        <f t="shared" si="169"/>
        <v>2.8667711418391386</v>
      </c>
      <c r="G69" s="86">
        <f t="shared" si="169"/>
        <v>1.6775799147678658</v>
      </c>
      <c r="H69" s="86">
        <f t="shared" si="169"/>
        <v>2.2551347584879631</v>
      </c>
      <c r="I69" s="86">
        <f t="shared" si="169"/>
        <v>2.5325526575562809</v>
      </c>
      <c r="J69" s="86">
        <f t="shared" si="169"/>
        <v>5.2206397807743032</v>
      </c>
      <c r="K69" s="86">
        <f t="shared" si="169"/>
        <v>3.85298459103227</v>
      </c>
      <c r="L69" s="86">
        <f t="shared" si="169"/>
        <v>1.3022821296874907</v>
      </c>
      <c r="M69" s="86">
        <f t="shared" si="169"/>
        <v>1.4217857732152384</v>
      </c>
      <c r="N69" s="86">
        <f t="shared" si="169"/>
        <v>2.9331330625940129</v>
      </c>
      <c r="O69" s="86">
        <f t="shared" si="169"/>
        <v>4.4381326983126677</v>
      </c>
      <c r="P69" s="86">
        <f t="shared" si="169"/>
        <v>2.6394516460559747</v>
      </c>
      <c r="Q69" s="86">
        <f t="shared" si="169"/>
        <v>1.8472498867808622</v>
      </c>
      <c r="R69" s="86">
        <f t="shared" si="169"/>
        <v>2.2551347584879631</v>
      </c>
      <c r="S69" s="86">
        <f t="shared" si="169"/>
        <v>2.5325526575562809</v>
      </c>
      <c r="T69" s="86">
        <f t="shared" si="169"/>
        <v>4.8961235534423535</v>
      </c>
      <c r="U69" s="86">
        <f t="shared" si="169"/>
        <v>5.0165191920917334</v>
      </c>
      <c r="V69" s="86"/>
      <c r="W69" s="86">
        <f t="shared" si="169"/>
        <v>3.3687670084260724</v>
      </c>
      <c r="X69" s="86">
        <f t="shared" si="169"/>
        <v>11.665798598411142</v>
      </c>
      <c r="Y69" s="86">
        <f t="shared" si="169"/>
        <v>3.7456635036230455</v>
      </c>
      <c r="Z69" s="86">
        <f t="shared" si="169"/>
        <v>1.9476453611862163</v>
      </c>
      <c r="AA69" s="86">
        <f t="shared" si="169"/>
        <v>0</v>
      </c>
      <c r="AB69" s="86">
        <f t="shared" si="169"/>
        <v>0</v>
      </c>
      <c r="AC69" s="86">
        <f t="shared" si="169"/>
        <v>4.5918232403794734</v>
      </c>
      <c r="AD69" s="86">
        <f t="shared" si="169"/>
        <v>4.0765423264554457</v>
      </c>
      <c r="AE69" s="86">
        <f t="shared" si="169"/>
        <v>2.4620818941061562</v>
      </c>
      <c r="AF69" s="86">
        <f t="shared" si="169"/>
        <v>2.6149143219457081</v>
      </c>
      <c r="AG69" s="86">
        <f t="shared" si="169"/>
        <v>2.6402335378604715</v>
      </c>
      <c r="AH69" s="86">
        <f t="shared" si="169"/>
        <v>4.307104041089616</v>
      </c>
      <c r="AI69" s="86">
        <f t="shared" ref="AI69:BJ69" si="170">IFERROR(AI12/AI16,0)</f>
        <v>1.7301040779960299</v>
      </c>
      <c r="AJ69" s="86">
        <f t="shared" si="170"/>
        <v>1.8215483050623076</v>
      </c>
      <c r="AK69" s="86">
        <f t="shared" si="170"/>
        <v>1.6800690782637528</v>
      </c>
      <c r="AL69" s="86">
        <f t="shared" si="170"/>
        <v>1.7292245033561409</v>
      </c>
      <c r="AM69" s="86">
        <f t="shared" si="170"/>
        <v>2.5344896433057205</v>
      </c>
      <c r="AN69" s="86">
        <f t="shared" si="170"/>
        <v>2.9200711721868942</v>
      </c>
      <c r="AO69" s="86">
        <f t="shared" si="170"/>
        <v>1.225713772279007</v>
      </c>
      <c r="AP69" s="86">
        <f t="shared" si="170"/>
        <v>0.69868923414675865</v>
      </c>
      <c r="AQ69" s="86">
        <f t="shared" si="170"/>
        <v>2.5198796748992969</v>
      </c>
      <c r="AR69" s="86">
        <f t="shared" si="170"/>
        <v>1.740422856505452</v>
      </c>
      <c r="AS69" s="86">
        <f t="shared" si="170"/>
        <v>3.3836655663284296</v>
      </c>
      <c r="AT69" s="86">
        <f t="shared" si="170"/>
        <v>1.1979380769751096</v>
      </c>
      <c r="AU69" s="86">
        <f t="shared" si="170"/>
        <v>12.676764273681947</v>
      </c>
      <c r="AV69" s="86">
        <f t="shared" si="170"/>
        <v>3.4945542640850507</v>
      </c>
      <c r="AW69" s="86">
        <f t="shared" si="170"/>
        <v>3.333654145013428</v>
      </c>
      <c r="AX69" s="86">
        <f t="shared" si="170"/>
        <v>5.0998448360183346</v>
      </c>
      <c r="AY69" s="86">
        <f t="shared" si="170"/>
        <v>4.0217398130100737</v>
      </c>
      <c r="AZ69" s="86">
        <f t="shared" si="170"/>
        <v>4.4858169672459951</v>
      </c>
      <c r="BA69" s="86">
        <f t="shared" si="170"/>
        <v>1.3013329434860625</v>
      </c>
      <c r="BB69" s="86">
        <f t="shared" si="170"/>
        <v>1.3868129865327044</v>
      </c>
      <c r="BC69" s="86">
        <f t="shared" si="170"/>
        <v>2.1204288677081755</v>
      </c>
      <c r="BD69" s="86">
        <f t="shared" si="170"/>
        <v>2.4642588441049829</v>
      </c>
      <c r="BE69" s="86">
        <f t="shared" si="170"/>
        <v>1.0875843967109298</v>
      </c>
      <c r="BF69" s="86">
        <f t="shared" si="170"/>
        <v>0.95895658613134649</v>
      </c>
      <c r="BG69" s="86">
        <f t="shared" si="170"/>
        <v>1.016926484970601</v>
      </c>
      <c r="BH69" s="86">
        <f t="shared" si="170"/>
        <v>1.0177317551196778</v>
      </c>
      <c r="BI69" s="86">
        <f t="shared" si="170"/>
        <v>13.00985088725457</v>
      </c>
      <c r="BJ69" s="86">
        <f t="shared" si="170"/>
        <v>4.0598948139410673</v>
      </c>
      <c r="BK69" s="86"/>
      <c r="BL69" s="86">
        <f t="shared" ref="BL69:CW69" si="171">IFERROR(BL12/BL16,0)</f>
        <v>21.2330305507788</v>
      </c>
      <c r="BM69" s="86">
        <f t="shared" si="171"/>
        <v>4.0403293789687575</v>
      </c>
      <c r="BN69" s="86">
        <f t="shared" si="171"/>
        <v>2.1185345018043593</v>
      </c>
      <c r="BO69" s="86">
        <f t="shared" si="171"/>
        <v>1.4638698783352855</v>
      </c>
      <c r="BP69" s="86">
        <f t="shared" si="171"/>
        <v>1.7664218762097104</v>
      </c>
      <c r="BQ69" s="86">
        <f t="shared" si="171"/>
        <v>0</v>
      </c>
      <c r="BR69" s="86">
        <f t="shared" si="171"/>
        <v>2.1673465980242104</v>
      </c>
      <c r="BS69" s="86">
        <f t="shared" si="171"/>
        <v>0</v>
      </c>
      <c r="BT69" s="86">
        <f t="shared" si="171"/>
        <v>39.489288386484667</v>
      </c>
      <c r="BU69" s="86">
        <f t="shared" si="171"/>
        <v>1.0359689105318055</v>
      </c>
      <c r="BV69" s="86">
        <f t="shared" si="171"/>
        <v>1.1726259930379286</v>
      </c>
      <c r="BW69" s="86">
        <f t="shared" si="171"/>
        <v>4.4980104441794122</v>
      </c>
      <c r="BX69" s="86">
        <f t="shared" si="171"/>
        <v>7.7817316875131537</v>
      </c>
      <c r="BY69" s="86">
        <f t="shared" si="171"/>
        <v>1.5325115914907557</v>
      </c>
      <c r="BZ69" s="86">
        <f t="shared" si="171"/>
        <v>1.5873369783559814</v>
      </c>
      <c r="CA69" s="86">
        <f t="shared" si="171"/>
        <v>1.6603750901659053</v>
      </c>
      <c r="CB69" s="86">
        <f t="shared" si="171"/>
        <v>1.7511854586382434</v>
      </c>
      <c r="CC69" s="86">
        <f t="shared" si="171"/>
        <v>4.1361054694636232</v>
      </c>
      <c r="CD69" s="86">
        <f t="shared" si="171"/>
        <v>5.5659651808719133</v>
      </c>
      <c r="CE69" s="86">
        <f t="shared" si="171"/>
        <v>1.4657699607901697</v>
      </c>
      <c r="CF69" s="86">
        <f t="shared" si="171"/>
        <v>1.3639415499633498</v>
      </c>
      <c r="CG69" s="86">
        <f t="shared" si="171"/>
        <v>14.850151295882121</v>
      </c>
      <c r="CH69" s="86">
        <f t="shared" si="171"/>
        <v>19.326894502228825</v>
      </c>
      <c r="CI69" s="86">
        <f t="shared" si="171"/>
        <v>1.016926484970601</v>
      </c>
      <c r="CJ69" s="86">
        <f t="shared" si="171"/>
        <v>1.0177317551196778</v>
      </c>
      <c r="CK69" s="86">
        <f t="shared" si="171"/>
        <v>4.6901783497825615</v>
      </c>
      <c r="CL69" s="86">
        <f t="shared" si="171"/>
        <v>2.0189576976580468</v>
      </c>
      <c r="CM69" s="86">
        <f t="shared" si="171"/>
        <v>1.2558781401851364</v>
      </c>
      <c r="CN69" s="86">
        <f t="shared" si="171"/>
        <v>2.2856882703401777</v>
      </c>
      <c r="CO69" s="86"/>
      <c r="CP69" s="86">
        <f t="shared" si="171"/>
        <v>1.9979634342828991</v>
      </c>
      <c r="CQ69" s="86">
        <f t="shared" si="171"/>
        <v>1.8681527387733352</v>
      </c>
      <c r="CR69" s="86">
        <f t="shared" si="171"/>
        <v>2.8754564840009493</v>
      </c>
      <c r="CS69" s="86">
        <f t="shared" si="171"/>
        <v>2.5273339975186007</v>
      </c>
      <c r="CT69" s="86">
        <f t="shared" ref="CT69:CU69" si="172">IFERROR(CT12/CT16,0)</f>
        <v>11.432446719926602</v>
      </c>
      <c r="CU69" s="86">
        <f t="shared" si="172"/>
        <v>15.421917870821524</v>
      </c>
      <c r="CV69" s="86">
        <f t="shared" si="171"/>
        <v>1.4209202776429768</v>
      </c>
      <c r="CW69" s="86">
        <f t="shared" si="171"/>
        <v>1.4701473535863956</v>
      </c>
    </row>
    <row r="70" spans="1:101" x14ac:dyDescent="0.2">
      <c r="A70" s="207" t="s">
        <v>109</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08"/>
      <c r="BS70" s="208"/>
      <c r="BT70" s="208"/>
      <c r="BU70" s="208"/>
      <c r="BV70" s="208"/>
      <c r="BW70" s="208"/>
      <c r="BX70" s="208"/>
      <c r="BY70" s="208"/>
      <c r="BZ70" s="208"/>
      <c r="CA70" s="208"/>
      <c r="CB70" s="208"/>
      <c r="CC70" s="208"/>
      <c r="CD70" s="208"/>
      <c r="CE70" s="208"/>
      <c r="CF70" s="208"/>
      <c r="CG70" s="208"/>
      <c r="CH70" s="208"/>
      <c r="CI70" s="208"/>
      <c r="CJ70" s="208"/>
      <c r="CK70" s="208"/>
      <c r="CL70" s="208"/>
      <c r="CM70" s="208"/>
      <c r="CN70" s="208"/>
      <c r="CO70" s="208"/>
      <c r="CP70" s="208"/>
      <c r="CQ70" s="208"/>
      <c r="CR70" s="208"/>
      <c r="CS70" s="208"/>
      <c r="CT70" s="208"/>
      <c r="CU70" s="208"/>
      <c r="CV70" s="208"/>
      <c r="CW70" s="208"/>
    </row>
    <row r="71" spans="1:101" x14ac:dyDescent="0.2">
      <c r="A71" s="96" t="s">
        <v>85</v>
      </c>
      <c r="B71" s="86">
        <f t="shared" ref="B71:AH71" si="173">IFERROR(B32/B12,0)</f>
        <v>0.78931525339829611</v>
      </c>
      <c r="C71" s="86">
        <f t="shared" si="173"/>
        <v>0.79372225654580952</v>
      </c>
      <c r="D71" s="86">
        <f t="shared" si="173"/>
        <v>0.3755260486193322</v>
      </c>
      <c r="E71" s="86">
        <f t="shared" si="173"/>
        <v>0.59028528749731102</v>
      </c>
      <c r="F71" s="86">
        <f t="shared" si="173"/>
        <v>0.6511755035463126</v>
      </c>
      <c r="G71" s="86">
        <f t="shared" si="173"/>
        <v>0.40390321128852191</v>
      </c>
      <c r="H71" s="86">
        <f t="shared" si="173"/>
        <v>0.55656751941933336</v>
      </c>
      <c r="I71" s="86">
        <f t="shared" si="173"/>
        <v>0.60514147770379501</v>
      </c>
      <c r="J71" s="86">
        <f t="shared" si="173"/>
        <v>0.80845259546873305</v>
      </c>
      <c r="K71" s="86">
        <f t="shared" si="173"/>
        <v>0.74046093972774352</v>
      </c>
      <c r="L71" s="86">
        <f t="shared" si="173"/>
        <v>0.23211723696157108</v>
      </c>
      <c r="M71" s="86">
        <f t="shared" si="173"/>
        <v>0.29665916002338982</v>
      </c>
      <c r="N71" s="86">
        <f t="shared" si="173"/>
        <v>0.65906763223499409</v>
      </c>
      <c r="O71" s="86">
        <f t="shared" si="173"/>
        <v>0.77468001342542336</v>
      </c>
      <c r="P71" s="86">
        <f t="shared" si="173"/>
        <v>0.62113342690165996</v>
      </c>
      <c r="Q71" s="86">
        <f t="shared" si="173"/>
        <v>0.45865472389192291</v>
      </c>
      <c r="R71" s="86">
        <f t="shared" si="173"/>
        <v>0.55656751941933336</v>
      </c>
      <c r="S71" s="86">
        <f t="shared" si="173"/>
        <v>0.60514147770379501</v>
      </c>
      <c r="T71" s="86">
        <f t="shared" si="173"/>
        <v>0.79575678818461948</v>
      </c>
      <c r="U71" s="86">
        <f t="shared" si="173"/>
        <v>0.80065859180276933</v>
      </c>
      <c r="V71" s="86"/>
      <c r="W71" s="86">
        <f t="shared" si="173"/>
        <v>0.70315548760161606</v>
      </c>
      <c r="X71" s="86">
        <f t="shared" si="173"/>
        <v>0.91427933616681867</v>
      </c>
      <c r="Y71" s="86">
        <f t="shared" si="173"/>
        <v>0.73302460324245999</v>
      </c>
      <c r="Z71" s="86">
        <f t="shared" si="173"/>
        <v>0.48655950414353233</v>
      </c>
      <c r="AA71" s="86">
        <f t="shared" si="173"/>
        <v>1</v>
      </c>
      <c r="AB71" s="86">
        <f t="shared" si="173"/>
        <v>1</v>
      </c>
      <c r="AC71" s="86">
        <f t="shared" si="173"/>
        <v>0.78222158222332638</v>
      </c>
      <c r="AD71" s="86">
        <f t="shared" si="173"/>
        <v>0.75469407161301327</v>
      </c>
      <c r="AE71" s="86">
        <f t="shared" si="173"/>
        <v>0.5938396678055895</v>
      </c>
      <c r="AF71" s="86">
        <f t="shared" si="173"/>
        <v>0.61757829248649376</v>
      </c>
      <c r="AG71" s="86">
        <f t="shared" si="173"/>
        <v>0.6212456263204823</v>
      </c>
      <c r="AH71" s="86">
        <f t="shared" si="173"/>
        <v>0.76782543665998393</v>
      </c>
      <c r="AI71" s="86">
        <f t="shared" ref="AI71:BJ71" si="174">IFERROR(AI32/AI12,0)</f>
        <v>0.42200009079321144</v>
      </c>
      <c r="AJ71" s="86">
        <f t="shared" si="174"/>
        <v>0.45101648019935758</v>
      </c>
      <c r="AK71" s="86">
        <f t="shared" si="174"/>
        <v>0.40478637876399826</v>
      </c>
      <c r="AL71" s="86">
        <f t="shared" si="174"/>
        <v>0.42170608960307687</v>
      </c>
      <c r="AM71" s="86">
        <f t="shared" si="174"/>
        <v>0.60544324864720866</v>
      </c>
      <c r="AN71" s="86">
        <f t="shared" si="174"/>
        <v>0.65754259364470147</v>
      </c>
      <c r="AO71" s="86">
        <f t="shared" si="174"/>
        <v>0.18414884240007393</v>
      </c>
      <c r="AP71" s="86">
        <f t="shared" si="174"/>
        <v>-0.43125147938081926</v>
      </c>
      <c r="AQ71" s="86">
        <f t="shared" si="174"/>
        <v>0.60315565462864273</v>
      </c>
      <c r="AR71" s="86">
        <f t="shared" si="174"/>
        <v>0.42542698961798686</v>
      </c>
      <c r="AS71" s="86">
        <f t="shared" si="174"/>
        <v>0.70446251841458241</v>
      </c>
      <c r="AT71" s="86">
        <f t="shared" si="174"/>
        <v>0.16523231106813069</v>
      </c>
      <c r="AU71" s="86">
        <f t="shared" si="174"/>
        <v>0.92111551667201974</v>
      </c>
      <c r="AV71" s="86">
        <f t="shared" si="174"/>
        <v>0.7138404716511616</v>
      </c>
      <c r="AW71" s="86">
        <f t="shared" si="174"/>
        <v>0.70002887027263228</v>
      </c>
      <c r="AX71" s="86">
        <f t="shared" si="174"/>
        <v>0.80391560289494168</v>
      </c>
      <c r="AY71" s="86">
        <f t="shared" si="174"/>
        <v>0.75135139355234692</v>
      </c>
      <c r="AZ71" s="86">
        <f t="shared" si="174"/>
        <v>0.77707516661921761</v>
      </c>
      <c r="BA71" s="86">
        <f t="shared" si="174"/>
        <v>0.23155714684271328</v>
      </c>
      <c r="BB71" s="86">
        <f t="shared" si="174"/>
        <v>0.27892224134691024</v>
      </c>
      <c r="BC71" s="86">
        <f t="shared" si="174"/>
        <v>0.52839729017609982</v>
      </c>
      <c r="BD71" s="86">
        <f t="shared" si="174"/>
        <v>0.59419847375521972</v>
      </c>
      <c r="BE71" s="86">
        <f t="shared" si="174"/>
        <v>8.0531126573535172E-2</v>
      </c>
      <c r="BF71" s="86">
        <f t="shared" si="174"/>
        <v>-4.2800075063076815E-2</v>
      </c>
      <c r="BG71" s="86">
        <f t="shared" si="174"/>
        <v>1.6644747895508294E-2</v>
      </c>
      <c r="BH71" s="86">
        <f t="shared" si="174"/>
        <v>1.7422817977800691E-2</v>
      </c>
      <c r="BI71" s="86">
        <f t="shared" si="174"/>
        <v>0.92313516821475061</v>
      </c>
      <c r="BJ71" s="86">
        <f t="shared" si="174"/>
        <v>0.7536881998602154</v>
      </c>
      <c r="BK71" s="86"/>
      <c r="BL71" s="86">
        <f t="shared" ref="BL71:CW71" si="175">IFERROR(BL32/BL12,0)</f>
        <v>0.95290356703398982</v>
      </c>
      <c r="BM71" s="86">
        <f t="shared" si="175"/>
        <v>0.75249542643594136</v>
      </c>
      <c r="BN71" s="86">
        <f t="shared" si="175"/>
        <v>0.52797558918757359</v>
      </c>
      <c r="BO71" s="86">
        <f t="shared" si="175"/>
        <v>0.31687917430393386</v>
      </c>
      <c r="BP71" s="86">
        <f t="shared" si="175"/>
        <v>0.43388382273336407</v>
      </c>
      <c r="BQ71" s="86">
        <f t="shared" si="175"/>
        <v>0</v>
      </c>
      <c r="BR71" s="86">
        <f t="shared" si="175"/>
        <v>0.53860633047265405</v>
      </c>
      <c r="BS71" s="86">
        <f t="shared" si="175"/>
        <v>0</v>
      </c>
      <c r="BT71" s="86">
        <f t="shared" si="175"/>
        <v>0.974676677122846</v>
      </c>
      <c r="BU71" s="86">
        <f t="shared" si="175"/>
        <v>3.4720067529189783E-2</v>
      </c>
      <c r="BV71" s="86">
        <f t="shared" si="175"/>
        <v>0.14721317288106966</v>
      </c>
      <c r="BW71" s="86">
        <f t="shared" si="175"/>
        <v>0.77767948464992198</v>
      </c>
      <c r="BX71" s="86">
        <f t="shared" si="175"/>
        <v>0.87149389876746386</v>
      </c>
      <c r="BY71" s="86">
        <f t="shared" si="175"/>
        <v>0.34747638742017822</v>
      </c>
      <c r="BZ71" s="86">
        <f t="shared" si="175"/>
        <v>0.37001404639630547</v>
      </c>
      <c r="CA71" s="86">
        <f t="shared" ref="CA71:CS71" si="176">IFERROR(CA32/CA12,0)</f>
        <v>0.39772644993121425</v>
      </c>
      <c r="CB71" s="86">
        <f t="shared" si="176"/>
        <v>0.42895825506818686</v>
      </c>
      <c r="CC71" s="86">
        <f t="shared" si="176"/>
        <v>0.75822666820687201</v>
      </c>
      <c r="CD71" s="86">
        <f t="shared" si="176"/>
        <v>0.82033664108488924</v>
      </c>
      <c r="CE71" s="86">
        <f t="shared" si="176"/>
        <v>0.31776470609281804</v>
      </c>
      <c r="CF71" s="86">
        <f t="shared" si="176"/>
        <v>0.26683075236847892</v>
      </c>
      <c r="CG71" s="86">
        <f t="shared" si="176"/>
        <v>0.93266061873205997</v>
      </c>
      <c r="CH71" s="86">
        <f t="shared" si="176"/>
        <v>0.94825862996847854</v>
      </c>
      <c r="CI71" s="86">
        <f t="shared" si="176"/>
        <v>1.6644747895508294E-2</v>
      </c>
      <c r="CJ71" s="86">
        <f t="shared" si="176"/>
        <v>1.7422817977800691E-2</v>
      </c>
      <c r="CK71" s="86">
        <f t="shared" si="176"/>
        <v>0.78678849173265231</v>
      </c>
      <c r="CL71" s="86">
        <f t="shared" si="176"/>
        <v>0.50469492195899834</v>
      </c>
      <c r="CM71" s="86">
        <f t="shared" si="176"/>
        <v>0.2037444016243613</v>
      </c>
      <c r="CN71" s="86">
        <f t="shared" si="176"/>
        <v>0.56249502043812372</v>
      </c>
      <c r="CO71" s="86"/>
      <c r="CP71" s="86">
        <f t="shared" si="176"/>
        <v>0.49949033959226791</v>
      </c>
      <c r="CQ71" s="86">
        <f t="shared" si="176"/>
        <v>0.4647118625554037</v>
      </c>
      <c r="CR71" s="86">
        <f t="shared" si="176"/>
        <v>0.65222913107396907</v>
      </c>
      <c r="CS71" s="86">
        <f t="shared" si="176"/>
        <v>0.60432613933028845</v>
      </c>
      <c r="CT71" s="86">
        <f t="shared" ref="CT71:CU71" si="177">IFERROR(CT32/CT12,0)</f>
        <v>0.91252966014203996</v>
      </c>
      <c r="CU71" s="86">
        <f t="shared" si="177"/>
        <v>0.93515722179457239</v>
      </c>
      <c r="CV71" s="86">
        <f t="shared" si="175"/>
        <v>0.29623074866747595</v>
      </c>
      <c r="CW71" s="86">
        <f t="shared" si="175"/>
        <v>0.31979607516177228</v>
      </c>
    </row>
    <row r="72" spans="1:101" x14ac:dyDescent="0.2">
      <c r="A72" s="207" t="s">
        <v>110</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c r="CK72" s="208"/>
      <c r="CL72" s="208"/>
      <c r="CM72" s="208"/>
      <c r="CN72" s="208"/>
      <c r="CO72" s="208"/>
      <c r="CP72" s="208"/>
      <c r="CQ72" s="208"/>
      <c r="CR72" s="208"/>
      <c r="CS72" s="208"/>
      <c r="CT72" s="208"/>
      <c r="CU72" s="208"/>
      <c r="CV72" s="208"/>
      <c r="CW72" s="208"/>
    </row>
    <row r="73" spans="1:101" x14ac:dyDescent="0.2">
      <c r="A73" s="96" t="s">
        <v>284</v>
      </c>
      <c r="B73" s="86">
        <f t="shared" ref="B73:AH73" si="178">IFERROR(B40/B37,0)</f>
        <v>4.6526138603725613E-2</v>
      </c>
      <c r="C73" s="86">
        <f t="shared" si="178"/>
        <v>6.0855304343184716E-2</v>
      </c>
      <c r="D73" s="86">
        <f t="shared" si="178"/>
        <v>0.20496569413160104</v>
      </c>
      <c r="E73" s="86">
        <f t="shared" si="178"/>
        <v>7.7079968371526475E-2</v>
      </c>
      <c r="F73" s="86">
        <f t="shared" si="178"/>
        <v>1.5245570279249313E-2</v>
      </c>
      <c r="G73" s="86">
        <f t="shared" si="178"/>
        <v>0.11139840420678729</v>
      </c>
      <c r="H73" s="86">
        <f t="shared" si="178"/>
        <v>6.1066917637228386E-2</v>
      </c>
      <c r="I73" s="86">
        <f t="shared" si="178"/>
        <v>2.8302139290359074E-2</v>
      </c>
      <c r="J73" s="86">
        <f t="shared" si="178"/>
        <v>-0.22035916923583862</v>
      </c>
      <c r="K73" s="86">
        <f t="shared" si="178"/>
        <v>-1.1061358070629694</v>
      </c>
      <c r="L73" s="86">
        <f t="shared" si="178"/>
        <v>0.17426513409851915</v>
      </c>
      <c r="M73" s="86">
        <f t="shared" si="178"/>
        <v>0.1998539546211521</v>
      </c>
      <c r="N73" s="86">
        <f t="shared" si="178"/>
        <v>-0.10195125363680221</v>
      </c>
      <c r="O73" s="86">
        <f t="shared" si="178"/>
        <v>6.7585460579308726E-2</v>
      </c>
      <c r="P73" s="86">
        <f t="shared" si="178"/>
        <v>0.10180778609575562</v>
      </c>
      <c r="Q73" s="86">
        <f t="shared" si="178"/>
        <v>5.4067606158948116E-2</v>
      </c>
      <c r="R73" s="86">
        <f t="shared" si="178"/>
        <v>6.1066917637228386E-2</v>
      </c>
      <c r="S73" s="86">
        <f t="shared" si="178"/>
        <v>2.8302139290359074E-2</v>
      </c>
      <c r="T73" s="86">
        <f t="shared" si="178"/>
        <v>-0.14004933773328415</v>
      </c>
      <c r="U73" s="86">
        <f t="shared" si="178"/>
        <v>0.13013216927460383</v>
      </c>
      <c r="V73" s="86"/>
      <c r="W73" s="86">
        <f t="shared" si="178"/>
        <v>5.7667716443678491E-2</v>
      </c>
      <c r="X73" s="86">
        <f t="shared" si="178"/>
        <v>8.8355069061985952E-2</v>
      </c>
      <c r="Y73" s="86">
        <f t="shared" si="178"/>
        <v>-1.9106432642176378E-2</v>
      </c>
      <c r="Z73" s="86">
        <f t="shared" si="178"/>
        <v>9.7543477041806978E-2</v>
      </c>
      <c r="AA73" s="86">
        <f t="shared" si="178"/>
        <v>0</v>
      </c>
      <c r="AB73" s="86">
        <f t="shared" si="178"/>
        <v>0</v>
      </c>
      <c r="AC73" s="86">
        <f t="shared" si="178"/>
        <v>0.25566435916045771</v>
      </c>
      <c r="AD73" s="86">
        <f t="shared" si="178"/>
        <v>0.16183721373002508</v>
      </c>
      <c r="AE73" s="86">
        <f t="shared" si="178"/>
        <v>-0.11718137677757998</v>
      </c>
      <c r="AF73" s="86">
        <f t="shared" si="178"/>
        <v>2.7154253521760374E-2</v>
      </c>
      <c r="AG73" s="86">
        <f t="shared" si="178"/>
        <v>7.2129838504882998E-2</v>
      </c>
      <c r="AH73" s="86">
        <f t="shared" si="178"/>
        <v>8.3859974659811015E-2</v>
      </c>
      <c r="AI73" s="86">
        <f t="shared" ref="AI73:BJ73" si="179">IFERROR(AI40/AI37,0)</f>
        <v>0.13014461280077583</v>
      </c>
      <c r="AJ73" s="86">
        <f t="shared" si="179"/>
        <v>0.12141392741297492</v>
      </c>
      <c r="AK73" s="86">
        <f t="shared" si="179"/>
        <v>8.1367408059841176E-2</v>
      </c>
      <c r="AL73" s="86">
        <f t="shared" si="179"/>
        <v>4.2203701495010446E-2</v>
      </c>
      <c r="AM73" s="86">
        <f t="shared" si="179"/>
        <v>0.17086576970684592</v>
      </c>
      <c r="AN73" s="86">
        <f t="shared" si="179"/>
        <v>5.57698481042328E-2</v>
      </c>
      <c r="AO73" s="86">
        <f t="shared" si="179"/>
        <v>9.5729719334488886E-2</v>
      </c>
      <c r="AP73" s="86">
        <f t="shared" si="179"/>
        <v>-0.11726061550222387</v>
      </c>
      <c r="AQ73" s="86">
        <f t="shared" si="179"/>
        <v>4.6076463367230501E-2</v>
      </c>
      <c r="AR73" s="86">
        <f t="shared" si="179"/>
        <v>-0.82424720321769041</v>
      </c>
      <c r="AS73" s="86">
        <f t="shared" si="179"/>
        <v>4.712193667185674E-2</v>
      </c>
      <c r="AT73" s="86">
        <f t="shared" si="179"/>
        <v>-5.3685721076562469</v>
      </c>
      <c r="AU73" s="86">
        <f t="shared" si="179"/>
        <v>4.017348275855126E-2</v>
      </c>
      <c r="AV73" s="86">
        <f t="shared" si="179"/>
        <v>5.1683523915839934E-2</v>
      </c>
      <c r="AW73" s="86">
        <f t="shared" si="179"/>
        <v>4.6884794054690669E-2</v>
      </c>
      <c r="AX73" s="86">
        <f t="shared" si="179"/>
        <v>-0.1114186794744446</v>
      </c>
      <c r="AY73" s="86">
        <f t="shared" si="179"/>
        <v>8.5570816041088668E-2</v>
      </c>
      <c r="AZ73" s="86">
        <f t="shared" si="179"/>
        <v>9.0397399744051463E-2</v>
      </c>
      <c r="BA73" s="86">
        <f t="shared" si="179"/>
        <v>-0.46682671958817684</v>
      </c>
      <c r="BB73" s="86">
        <f t="shared" si="179"/>
        <v>4.7138741969096606E-2</v>
      </c>
      <c r="BC73" s="86">
        <f t="shared" si="179"/>
        <v>6.4597364542502922E-2</v>
      </c>
      <c r="BD73" s="86">
        <f t="shared" si="179"/>
        <v>-3.734962625481069E-2</v>
      </c>
      <c r="BE73" s="86">
        <f t="shared" si="179"/>
        <v>0</v>
      </c>
      <c r="BF73" s="86">
        <f t="shared" si="179"/>
        <v>0</v>
      </c>
      <c r="BG73" s="86">
        <f t="shared" si="179"/>
        <v>0.16967348607383445</v>
      </c>
      <c r="BH73" s="86">
        <f t="shared" si="179"/>
        <v>0.24277073232363114</v>
      </c>
      <c r="BI73" s="86">
        <f t="shared" si="179"/>
        <v>0.11966724841676997</v>
      </c>
      <c r="BJ73" s="86">
        <f t="shared" si="179"/>
        <v>-1.874488767046549E-2</v>
      </c>
      <c r="BK73" s="86"/>
      <c r="BL73" s="86">
        <f t="shared" ref="BL73:CW73" si="180">IFERROR(BL40/BL37,0)</f>
        <v>6.0120046465316962E-2</v>
      </c>
      <c r="BM73" s="86">
        <f t="shared" si="180"/>
        <v>7.3462087421893418E-2</v>
      </c>
      <c r="BN73" s="86">
        <f t="shared" si="180"/>
        <v>-82.652996605488426</v>
      </c>
      <c r="BO73" s="86">
        <f t="shared" si="180"/>
        <v>0.1513191201882183</v>
      </c>
      <c r="BP73" s="86">
        <f t="shared" si="180"/>
        <v>0.15983937497951814</v>
      </c>
      <c r="BQ73" s="86">
        <f t="shared" si="180"/>
        <v>0</v>
      </c>
      <c r="BR73" s="86">
        <f t="shared" si="180"/>
        <v>0.10495662335471936</v>
      </c>
      <c r="BS73" s="86">
        <f t="shared" si="180"/>
        <v>0</v>
      </c>
      <c r="BT73" s="86">
        <f t="shared" si="180"/>
        <v>0.25111120095837075</v>
      </c>
      <c r="BU73" s="86">
        <f t="shared" si="180"/>
        <v>-0.22491897617219056</v>
      </c>
      <c r="BV73" s="86">
        <f t="shared" si="180"/>
        <v>8.0562149707453387E-2</v>
      </c>
      <c r="BW73" s="86">
        <f t="shared" si="180"/>
        <v>9.5666103789868048E-2</v>
      </c>
      <c r="BX73" s="86">
        <f t="shared" si="180"/>
        <v>0.11136132606264919</v>
      </c>
      <c r="BY73" s="86">
        <f t="shared" si="180"/>
        <v>9.9801987049919494E-2</v>
      </c>
      <c r="BZ73" s="86">
        <f t="shared" si="180"/>
        <v>9.3946135980916584E-2</v>
      </c>
      <c r="CA73" s="86">
        <f t="shared" ref="CA73:CS73" si="181">IFERROR(CA40/CA37,0)</f>
        <v>0.14367361710655491</v>
      </c>
      <c r="CB73" s="86">
        <f t="shared" si="181"/>
        <v>2.4273790182822684E-2</v>
      </c>
      <c r="CC73" s="86">
        <f t="shared" si="181"/>
        <v>7.1320238866264818E-2</v>
      </c>
      <c r="CD73" s="86">
        <f t="shared" si="181"/>
        <v>7.6328349599944695E-2</v>
      </c>
      <c r="CE73" s="86">
        <f t="shared" si="181"/>
        <v>-2.8589883258834103E-3</v>
      </c>
      <c r="CF73" s="86">
        <f t="shared" si="181"/>
        <v>-4.0616376432695472E-2</v>
      </c>
      <c r="CG73" s="86">
        <f t="shared" si="181"/>
        <v>0.1733560601187796</v>
      </c>
      <c r="CH73" s="86">
        <f t="shared" si="181"/>
        <v>4.4054848608398964E-2</v>
      </c>
      <c r="CI73" s="86">
        <f t="shared" si="181"/>
        <v>0.16967348607383445</v>
      </c>
      <c r="CJ73" s="86">
        <f t="shared" si="181"/>
        <v>0.24277073232363114</v>
      </c>
      <c r="CK73" s="86">
        <f t="shared" si="181"/>
        <v>9.179875552139162E-2</v>
      </c>
      <c r="CL73" s="86">
        <f t="shared" si="181"/>
        <v>8.6931960752485743E-2</v>
      </c>
      <c r="CM73" s="86">
        <f t="shared" si="181"/>
        <v>-0.18330708347195568</v>
      </c>
      <c r="CN73" s="86">
        <f t="shared" si="181"/>
        <v>0.20443889884915323</v>
      </c>
      <c r="CO73" s="86"/>
      <c r="CP73" s="86">
        <f t="shared" si="181"/>
        <v>-3.3939054280138319E-2</v>
      </c>
      <c r="CQ73" s="86">
        <f t="shared" si="181"/>
        <v>2.0067380491448215E-2</v>
      </c>
      <c r="CR73" s="86">
        <f t="shared" si="181"/>
        <v>-0.31518323599683079</v>
      </c>
      <c r="CS73" s="86">
        <f t="shared" si="181"/>
        <v>4.9689514874187823E-2</v>
      </c>
      <c r="CT73" s="86">
        <f t="shared" ref="CT73:CU73" si="182">IFERROR(CT40/CT37,0)</f>
        <v>0.39929334605880135</v>
      </c>
      <c r="CU73" s="86">
        <f t="shared" si="182"/>
        <v>0.20900801127410568</v>
      </c>
      <c r="CV73" s="86">
        <f t="shared" si="180"/>
        <v>7.2298828177140895E-2</v>
      </c>
      <c r="CW73" s="86">
        <f t="shared" si="180"/>
        <v>-0.87465730632322947</v>
      </c>
    </row>
    <row r="74" spans="1:101" x14ac:dyDescent="0.2">
      <c r="A74" s="96" t="s">
        <v>88</v>
      </c>
      <c r="B74" s="86">
        <f t="shared" ref="B74:AH74" si="183">IFERROR(+B45/B37,0)</f>
        <v>2.7637327251558555E-2</v>
      </c>
      <c r="C74" s="86">
        <f t="shared" si="183"/>
        <v>4.0122637996961683E-2</v>
      </c>
      <c r="D74" s="86">
        <f t="shared" si="183"/>
        <v>0.13005796539052736</v>
      </c>
      <c r="E74" s="86">
        <f t="shared" si="183"/>
        <v>-0.14439957675069656</v>
      </c>
      <c r="F74" s="86">
        <f t="shared" si="183"/>
        <v>0.27377694146836562</v>
      </c>
      <c r="G74" s="86">
        <f t="shared" si="183"/>
        <v>0.10554460170558445</v>
      </c>
      <c r="H74" s="86">
        <f t="shared" si="183"/>
        <v>1.2091420065957818E-2</v>
      </c>
      <c r="I74" s="86">
        <f t="shared" si="183"/>
        <v>9.6682549175712007E-3</v>
      </c>
      <c r="J74" s="86">
        <f t="shared" si="183"/>
        <v>1.9714145784476167E-2</v>
      </c>
      <c r="K74" s="86">
        <f t="shared" si="183"/>
        <v>4.1335221089243451E-2</v>
      </c>
      <c r="L74" s="86">
        <f t="shared" si="183"/>
        <v>6.1644080499997644E-3</v>
      </c>
      <c r="M74" s="86">
        <f t="shared" si="183"/>
        <v>2.1318657859903566E-2</v>
      </c>
      <c r="N74" s="86">
        <f t="shared" si="183"/>
        <v>0.17848802982011175</v>
      </c>
      <c r="O74" s="86">
        <f t="shared" si="183"/>
        <v>1.2194120203586775E-2</v>
      </c>
      <c r="P74" s="86">
        <f t="shared" si="183"/>
        <v>6.2943945930971468E-2</v>
      </c>
      <c r="Q74" s="86">
        <f t="shared" si="183"/>
        <v>5.5338599105464507E-2</v>
      </c>
      <c r="R74" s="86">
        <f t="shared" si="183"/>
        <v>1.2091420065957818E-2</v>
      </c>
      <c r="S74" s="86">
        <f t="shared" si="183"/>
        <v>9.6682549175712007E-3</v>
      </c>
      <c r="T74" s="86">
        <f t="shared" si="183"/>
        <v>6.663981713501245E-2</v>
      </c>
      <c r="U74" s="86">
        <f t="shared" si="183"/>
        <v>2.6029718137333322E-2</v>
      </c>
      <c r="V74" s="86"/>
      <c r="W74" s="86">
        <f t="shared" si="183"/>
        <v>3.7483785698295927E-2</v>
      </c>
      <c r="X74" s="86">
        <f t="shared" si="183"/>
        <v>6.7504799416818376E-2</v>
      </c>
      <c r="Y74" s="86">
        <f t="shared" si="183"/>
        <v>-1.8463590489634273E-2</v>
      </c>
      <c r="Z74" s="86">
        <f t="shared" si="183"/>
        <v>4.7069845060439153E-2</v>
      </c>
      <c r="AA74" s="86">
        <f t="shared" si="183"/>
        <v>0</v>
      </c>
      <c r="AB74" s="86">
        <f t="shared" si="183"/>
        <v>0</v>
      </c>
      <c r="AC74" s="86">
        <f t="shared" si="183"/>
        <v>0.14830574216576109</v>
      </c>
      <c r="AD74" s="86">
        <f t="shared" si="183"/>
        <v>7.0794456300227085E-2</v>
      </c>
      <c r="AE74" s="86">
        <f t="shared" si="183"/>
        <v>1.2337000363057791E-2</v>
      </c>
      <c r="AF74" s="86">
        <f t="shared" si="183"/>
        <v>2.6447661654111615E-3</v>
      </c>
      <c r="AG74" s="86">
        <f t="shared" si="183"/>
        <v>3.3641508381942319E-2</v>
      </c>
      <c r="AH74" s="86">
        <f t="shared" si="183"/>
        <v>4.4382869380057886E-2</v>
      </c>
      <c r="AI74" s="86">
        <f t="shared" ref="AI74:BJ74" si="184">IFERROR(+AI45/AI37,0)</f>
        <v>0.10835009112112862</v>
      </c>
      <c r="AJ74" s="86">
        <f t="shared" si="184"/>
        <v>-1.7203399568810486E-2</v>
      </c>
      <c r="AK74" s="86">
        <f t="shared" si="184"/>
        <v>4.4428779817979963E-2</v>
      </c>
      <c r="AL74" s="86">
        <f t="shared" si="184"/>
        <v>2.1001048939181709E-2</v>
      </c>
      <c r="AM74" s="86">
        <f t="shared" si="184"/>
        <v>5.5655415404679685E-2</v>
      </c>
      <c r="AN74" s="86">
        <f t="shared" si="184"/>
        <v>8.8744290957760305E-2</v>
      </c>
      <c r="AO74" s="86">
        <f t="shared" si="184"/>
        <v>6.615441154073598E-2</v>
      </c>
      <c r="AP74" s="86">
        <f t="shared" si="184"/>
        <v>-0.14118084673060291</v>
      </c>
      <c r="AQ74" s="86">
        <f t="shared" si="184"/>
        <v>3.6108293653985678E-2</v>
      </c>
      <c r="AR74" s="86">
        <f t="shared" si="184"/>
        <v>-0.84424015820007914</v>
      </c>
      <c r="AS74" s="86">
        <f t="shared" si="184"/>
        <v>5.016454497851726E-3</v>
      </c>
      <c r="AT74" s="86">
        <f t="shared" si="184"/>
        <v>-5.3043088662329039</v>
      </c>
      <c r="AU74" s="86">
        <f t="shared" si="184"/>
        <v>4.017348275855126E-2</v>
      </c>
      <c r="AV74" s="86">
        <f t="shared" si="184"/>
        <v>5.0747311101101165E-2</v>
      </c>
      <c r="AW74" s="86">
        <f t="shared" si="184"/>
        <v>4.9261319671360876E-3</v>
      </c>
      <c r="AX74" s="86">
        <f t="shared" si="184"/>
        <v>4.82830773992593E-2</v>
      </c>
      <c r="AY74" s="86">
        <f t="shared" si="184"/>
        <v>8.5570816041088668E-2</v>
      </c>
      <c r="AZ74" s="86">
        <f t="shared" si="184"/>
        <v>9.0397399744051463E-2</v>
      </c>
      <c r="BA74" s="86">
        <f t="shared" si="184"/>
        <v>4.1213230249723669E-2</v>
      </c>
      <c r="BB74" s="86">
        <f t="shared" si="184"/>
        <v>4.0972079843947025E-2</v>
      </c>
      <c r="BC74" s="86">
        <f t="shared" si="184"/>
        <v>1.6555198028715825E-2</v>
      </c>
      <c r="BD74" s="86">
        <f t="shared" si="184"/>
        <v>7.7185761311164364E-2</v>
      </c>
      <c r="BE74" s="86">
        <f t="shared" si="184"/>
        <v>0</v>
      </c>
      <c r="BF74" s="86">
        <f t="shared" si="184"/>
        <v>0</v>
      </c>
      <c r="BG74" s="86">
        <f t="shared" si="184"/>
        <v>-8.0357618954515556E-2</v>
      </c>
      <c r="BH74" s="86">
        <f t="shared" si="184"/>
        <v>5.8355311991661274E-2</v>
      </c>
      <c r="BI74" s="86">
        <f t="shared" si="184"/>
        <v>0.14319445445614148</v>
      </c>
      <c r="BJ74" s="86">
        <f t="shared" si="184"/>
        <v>-5.4326316483368784E-3</v>
      </c>
      <c r="BK74" s="86"/>
      <c r="BL74" s="86">
        <f t="shared" ref="BL74:CW74" si="185">IFERROR(+BL45/BL37,0)</f>
        <v>7.6230328576169931E-2</v>
      </c>
      <c r="BM74" s="86">
        <f t="shared" si="185"/>
        <v>3.2490796331695333E-2</v>
      </c>
      <c r="BN74" s="86">
        <f t="shared" si="185"/>
        <v>-93.673124814772962</v>
      </c>
      <c r="BO74" s="86">
        <f t="shared" si="185"/>
        <v>4.7161623915403558E-2</v>
      </c>
      <c r="BP74" s="86">
        <f t="shared" si="185"/>
        <v>4.5791578345381743E-2</v>
      </c>
      <c r="BQ74" s="86">
        <f t="shared" si="185"/>
        <v>0</v>
      </c>
      <c r="BR74" s="86">
        <f t="shared" si="185"/>
        <v>6.8089486668424667E-2</v>
      </c>
      <c r="BS74" s="86">
        <f t="shared" si="185"/>
        <v>0</v>
      </c>
      <c r="BT74" s="86">
        <f t="shared" si="185"/>
        <v>0.16322228212039533</v>
      </c>
      <c r="BU74" s="86">
        <f t="shared" si="185"/>
        <v>-0.15941030231843714</v>
      </c>
      <c r="BV74" s="86">
        <f t="shared" si="185"/>
        <v>5.8828932898968095E-2</v>
      </c>
      <c r="BW74" s="86">
        <f t="shared" si="185"/>
        <v>2.6543821000639668E-2</v>
      </c>
      <c r="BX74" s="86">
        <f t="shared" si="185"/>
        <v>8.7314145991880636E-3</v>
      </c>
      <c r="BY74" s="86">
        <f t="shared" si="185"/>
        <v>1.8816985866112339E-2</v>
      </c>
      <c r="BZ74" s="86">
        <f t="shared" si="185"/>
        <v>1.9419177159743607E-2</v>
      </c>
      <c r="CA74" s="86">
        <f t="shared" ref="CA74:CS74" si="186">IFERROR(+CA45/CA37,0)</f>
        <v>3.5926437349221345E-2</v>
      </c>
      <c r="CB74" s="86">
        <f t="shared" si="186"/>
        <v>-1.897407864549653E-2</v>
      </c>
      <c r="CC74" s="86">
        <f t="shared" si="186"/>
        <v>4.6195940441153813E-2</v>
      </c>
      <c r="CD74" s="86">
        <f t="shared" si="186"/>
        <v>5.4468557564729743E-2</v>
      </c>
      <c r="CE74" s="86">
        <f t="shared" si="186"/>
        <v>-5.5756342830532712E-2</v>
      </c>
      <c r="CF74" s="86">
        <f t="shared" si="186"/>
        <v>0.22684328724708419</v>
      </c>
      <c r="CG74" s="86">
        <f t="shared" si="186"/>
        <v>1.7741900902639308E-2</v>
      </c>
      <c r="CH74" s="86">
        <f t="shared" si="186"/>
        <v>4.4097766142357463E-2</v>
      </c>
      <c r="CI74" s="86">
        <f t="shared" si="186"/>
        <v>-8.0357618954515556E-2</v>
      </c>
      <c r="CJ74" s="86">
        <f t="shared" si="186"/>
        <v>5.8355311991661274E-2</v>
      </c>
      <c r="CK74" s="86">
        <f t="shared" si="186"/>
        <v>4.5957621631534128E-2</v>
      </c>
      <c r="CL74" s="86">
        <f t="shared" si="186"/>
        <v>6.1211100293466138E-2</v>
      </c>
      <c r="CM74" s="86">
        <f t="shared" si="186"/>
        <v>-0.41392845668550649</v>
      </c>
      <c r="CN74" s="86">
        <f t="shared" si="186"/>
        <v>0.24876144451954621</v>
      </c>
      <c r="CO74" s="86"/>
      <c r="CP74" s="86">
        <f t="shared" si="186"/>
        <v>1.7463403290581193E-2</v>
      </c>
      <c r="CQ74" s="86">
        <f t="shared" si="186"/>
        <v>1.5801598454580007E-3</v>
      </c>
      <c r="CR74" s="86">
        <f t="shared" si="186"/>
        <v>1.9319444409994037E-2</v>
      </c>
      <c r="CS74" s="86">
        <f t="shared" si="186"/>
        <v>3.191378834878416E-2</v>
      </c>
      <c r="CT74" s="86">
        <f t="shared" ref="CT74:CU74" si="187">IFERROR(+CT45/CT37,0)</f>
        <v>0.24934694805591043</v>
      </c>
      <c r="CU74" s="86">
        <f t="shared" si="187"/>
        <v>0.1316269570850469</v>
      </c>
      <c r="CV74" s="86">
        <f t="shared" si="185"/>
        <v>2.0347560064701405E-2</v>
      </c>
      <c r="CW74" s="86">
        <f t="shared" si="185"/>
        <v>-1.0446424606305771</v>
      </c>
    </row>
    <row r="75" spans="1:101" x14ac:dyDescent="0.2">
      <c r="A75" s="207" t="s">
        <v>89</v>
      </c>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row>
    <row r="76" spans="1:101" ht="24" x14ac:dyDescent="0.2">
      <c r="A76" s="204" t="s">
        <v>194</v>
      </c>
      <c r="B76" s="205">
        <f>B10-B14</f>
        <v>616739415</v>
      </c>
      <c r="C76" s="205">
        <f t="shared" ref="C76:CW76" si="188">C10-C14</f>
        <v>844492779</v>
      </c>
      <c r="D76" s="205">
        <f t="shared" si="188"/>
        <v>3234046728</v>
      </c>
      <c r="E76" s="205">
        <f t="shared" si="188"/>
        <v>4534655991</v>
      </c>
      <c r="F76" s="205">
        <f t="shared" si="188"/>
        <v>3825884009</v>
      </c>
      <c r="G76" s="205">
        <f t="shared" si="188"/>
        <v>354690553</v>
      </c>
      <c r="H76" s="205">
        <f t="shared" si="188"/>
        <v>1388628530</v>
      </c>
      <c r="I76" s="205">
        <f t="shared" si="188"/>
        <v>1189612046</v>
      </c>
      <c r="J76" s="205">
        <f t="shared" si="188"/>
        <v>1014511002</v>
      </c>
      <c r="K76" s="205">
        <f t="shared" si="188"/>
        <v>1044134353</v>
      </c>
      <c r="L76" s="205">
        <f t="shared" si="188"/>
        <v>2228205</v>
      </c>
      <c r="M76" s="205">
        <f t="shared" si="188"/>
        <v>3627320</v>
      </c>
      <c r="N76" s="205">
        <f t="shared" si="188"/>
        <v>572687652</v>
      </c>
      <c r="O76" s="205">
        <f t="shared" si="188"/>
        <v>980907710</v>
      </c>
      <c r="P76" s="205">
        <f t="shared" si="188"/>
        <v>46555571448</v>
      </c>
      <c r="Q76" s="205">
        <f t="shared" si="188"/>
        <v>47175662393</v>
      </c>
      <c r="R76" s="205">
        <f t="shared" si="188"/>
        <v>1388628530</v>
      </c>
      <c r="S76" s="205">
        <f t="shared" si="188"/>
        <v>1189612046</v>
      </c>
      <c r="T76" s="205">
        <f t="shared" si="188"/>
        <v>1250690133</v>
      </c>
      <c r="U76" s="205">
        <f t="shared" si="188"/>
        <v>-436719791</v>
      </c>
      <c r="V76" s="205"/>
      <c r="W76" s="205">
        <f t="shared" si="188"/>
        <v>-91518000</v>
      </c>
      <c r="X76" s="205">
        <f t="shared" si="188"/>
        <v>51111000</v>
      </c>
      <c r="Y76" s="205">
        <f t="shared" si="188"/>
        <v>947609274</v>
      </c>
      <c r="Z76" s="205">
        <f t="shared" si="188"/>
        <v>56061605</v>
      </c>
      <c r="AA76" s="205">
        <f t="shared" si="188"/>
        <v>865000000</v>
      </c>
      <c r="AB76" s="205">
        <f t="shared" si="188"/>
        <v>865000000</v>
      </c>
      <c r="AC76" s="205">
        <f t="shared" si="188"/>
        <v>3342259659</v>
      </c>
      <c r="AD76" s="205">
        <f t="shared" si="188"/>
        <v>2779742774</v>
      </c>
      <c r="AE76" s="205">
        <f t="shared" si="188"/>
        <v>4340740</v>
      </c>
      <c r="AF76" s="205">
        <f t="shared" si="188"/>
        <v>21401259</v>
      </c>
      <c r="AG76" s="205">
        <f t="shared" si="188"/>
        <v>412455271</v>
      </c>
      <c r="AH76" s="205">
        <f t="shared" si="188"/>
        <v>605729704</v>
      </c>
      <c r="AI76" s="205">
        <f t="shared" si="188"/>
        <v>7922945000</v>
      </c>
      <c r="AJ76" s="205">
        <f t="shared" si="188"/>
        <v>1898852000</v>
      </c>
      <c r="AK76" s="205">
        <f t="shared" si="188"/>
        <v>610439660</v>
      </c>
      <c r="AL76" s="205">
        <f t="shared" si="188"/>
        <v>2124738739</v>
      </c>
      <c r="AM76" s="205">
        <f t="shared" si="188"/>
        <v>-130115000</v>
      </c>
      <c r="AN76" s="205">
        <f t="shared" si="188"/>
        <v>59207000</v>
      </c>
      <c r="AO76" s="205">
        <f t="shared" si="188"/>
        <v>-16462000</v>
      </c>
      <c r="AP76" s="205">
        <f t="shared" si="188"/>
        <v>-981599000</v>
      </c>
      <c r="AQ76" s="205">
        <f t="shared" si="188"/>
        <v>1435243259</v>
      </c>
      <c r="AR76" s="205">
        <f t="shared" si="188"/>
        <v>-206754032</v>
      </c>
      <c r="AS76" s="205">
        <f t="shared" si="188"/>
        <v>80658000</v>
      </c>
      <c r="AT76" s="205">
        <f t="shared" si="188"/>
        <v>169045890</v>
      </c>
      <c r="AU76" s="205">
        <f t="shared" si="188"/>
        <v>532280000</v>
      </c>
      <c r="AV76" s="205">
        <f t="shared" si="188"/>
        <v>700920532</v>
      </c>
      <c r="AW76" s="205">
        <f t="shared" si="188"/>
        <v>798359451</v>
      </c>
      <c r="AX76" s="205">
        <f t="shared" si="188"/>
        <v>1700790198</v>
      </c>
      <c r="AY76" s="205">
        <f t="shared" si="188"/>
        <v>16920000</v>
      </c>
      <c r="AZ76" s="205">
        <f t="shared" si="188"/>
        <v>27607000</v>
      </c>
      <c r="BA76" s="205">
        <f t="shared" si="188"/>
        <v>-275415406</v>
      </c>
      <c r="BB76" s="205">
        <f t="shared" si="188"/>
        <v>405458</v>
      </c>
      <c r="BC76" s="205">
        <f t="shared" si="188"/>
        <v>363102139</v>
      </c>
      <c r="BD76" s="205">
        <f t="shared" si="188"/>
        <v>930589000</v>
      </c>
      <c r="BE76" s="205">
        <f t="shared" si="188"/>
        <v>-3773311988</v>
      </c>
      <c r="BF76" s="205">
        <f t="shared" si="188"/>
        <v>-4296611098</v>
      </c>
      <c r="BG76" s="205">
        <f t="shared" si="188"/>
        <v>25019000000</v>
      </c>
      <c r="BH76" s="205">
        <f t="shared" si="188"/>
        <v>-8748000000</v>
      </c>
      <c r="BI76" s="205">
        <f t="shared" si="188"/>
        <v>1315566000</v>
      </c>
      <c r="BJ76" s="205">
        <f t="shared" si="188"/>
        <v>1260035000</v>
      </c>
      <c r="BK76" s="205"/>
      <c r="BL76" s="205">
        <f t="shared" ref="BL76" si="189">BL10-BL14</f>
        <v>343438829</v>
      </c>
      <c r="BM76" s="205">
        <f t="shared" si="188"/>
        <v>1409284452</v>
      </c>
      <c r="BN76" s="205">
        <f t="shared" si="188"/>
        <v>2358078644</v>
      </c>
      <c r="BO76" s="205">
        <f t="shared" ref="BO76:BP76" si="190">BO10-BO14</f>
        <v>-810045236</v>
      </c>
      <c r="BP76" s="205">
        <f t="shared" si="190"/>
        <v>662054331</v>
      </c>
      <c r="BQ76" s="205">
        <f t="shared" ref="BQ76:BV76" si="191">BQ10-BQ14</f>
        <v>0</v>
      </c>
      <c r="BR76" s="205">
        <f t="shared" si="191"/>
        <v>-188315</v>
      </c>
      <c r="BS76" s="205">
        <f t="shared" si="191"/>
        <v>0</v>
      </c>
      <c r="BT76" s="205">
        <f t="shared" si="191"/>
        <v>76409504</v>
      </c>
      <c r="BU76" s="205">
        <f t="shared" si="191"/>
        <v>-3571953000</v>
      </c>
      <c r="BV76" s="205">
        <f t="shared" si="191"/>
        <v>-1448082000</v>
      </c>
      <c r="BW76" s="205">
        <f t="shared" ref="BW76:BX76" si="192">BW10-BW14</f>
        <v>61708173</v>
      </c>
      <c r="BX76" s="205">
        <f t="shared" si="192"/>
        <v>164416505</v>
      </c>
      <c r="BY76" s="205">
        <f t="shared" ref="BY76:BZ76" si="193">BY10-BY14</f>
        <v>-341623694</v>
      </c>
      <c r="BZ76" s="205">
        <f t="shared" si="193"/>
        <v>-453459548</v>
      </c>
      <c r="CA76" s="205">
        <f t="shared" ref="CA76:CS76" si="194">CA10-CA14</f>
        <v>286568</v>
      </c>
      <c r="CB76" s="205">
        <f t="shared" si="194"/>
        <v>251566</v>
      </c>
      <c r="CC76" s="205">
        <f t="shared" si="194"/>
        <v>2253371760</v>
      </c>
      <c r="CD76" s="205">
        <f t="shared" si="194"/>
        <v>2607228366</v>
      </c>
      <c r="CE76" s="205">
        <f t="shared" si="194"/>
        <v>11725627000</v>
      </c>
      <c r="CF76" s="205">
        <f t="shared" si="194"/>
        <v>3729525000</v>
      </c>
      <c r="CG76" s="205">
        <f t="shared" si="194"/>
        <v>-4973000</v>
      </c>
      <c r="CH76" s="205">
        <f t="shared" si="194"/>
        <v>758000</v>
      </c>
      <c r="CI76" s="205">
        <f t="shared" si="194"/>
        <v>25019000000</v>
      </c>
      <c r="CJ76" s="205">
        <f t="shared" si="194"/>
        <v>-8748000000</v>
      </c>
      <c r="CK76" s="205">
        <f t="shared" si="194"/>
        <v>1184252353</v>
      </c>
      <c r="CL76" s="205">
        <f t="shared" si="194"/>
        <v>1504714795</v>
      </c>
      <c r="CM76" s="205">
        <f t="shared" si="194"/>
        <v>565151991</v>
      </c>
      <c r="CN76" s="205">
        <f t="shared" si="194"/>
        <v>-933414235</v>
      </c>
      <c r="CO76" s="205"/>
      <c r="CP76" s="205">
        <f t="shared" si="194"/>
        <v>509184846</v>
      </c>
      <c r="CQ76" s="205">
        <f t="shared" si="194"/>
        <v>482696631</v>
      </c>
      <c r="CR76" s="205">
        <f t="shared" si="194"/>
        <v>584992556</v>
      </c>
      <c r="CS76" s="205">
        <f t="shared" si="194"/>
        <v>5544399719</v>
      </c>
      <c r="CT76" s="205">
        <f t="shared" ref="CT76:CU76" si="195">CT10-CT14</f>
        <v>252022475</v>
      </c>
      <c r="CU76" s="205">
        <f t="shared" si="195"/>
        <v>402843874</v>
      </c>
      <c r="CV76" s="205">
        <f t="shared" si="188"/>
        <v>137813236480</v>
      </c>
      <c r="CW76" s="205">
        <f t="shared" si="188"/>
        <v>61789776221</v>
      </c>
    </row>
    <row r="77" spans="1:101" x14ac:dyDescent="0.2">
      <c r="A77" s="207" t="s">
        <v>219</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row>
    <row r="78" spans="1:101" x14ac:dyDescent="0.2">
      <c r="A78" s="96" t="s">
        <v>220</v>
      </c>
      <c r="B78" s="86"/>
      <c r="C78" s="86">
        <f>IFERROR(C12/B12-1,"")</f>
        <v>0.20922444432862974</v>
      </c>
      <c r="D78" s="86"/>
      <c r="E78" s="86">
        <f>IFERROR(E12/D12-1,"")</f>
        <v>-0.44795443318030292</v>
      </c>
      <c r="F78" s="86"/>
      <c r="G78" s="86">
        <f>IFERROR(G12/F12-1,"")</f>
        <v>0.82927492946450765</v>
      </c>
      <c r="H78" s="86"/>
      <c r="I78" s="86">
        <f>IFERROR(I12/H12-1,"")</f>
        <v>-3.3536105165329566E-2</v>
      </c>
      <c r="J78" s="86"/>
      <c r="K78" s="86">
        <f>IFERROR(K12/J12-1,"")</f>
        <v>0.10007931000923986</v>
      </c>
      <c r="L78" s="86"/>
      <c r="M78" s="86">
        <f>IFERROR(M12/L12-1,"")</f>
        <v>5.9361357652538471E-2</v>
      </c>
      <c r="N78" s="86"/>
      <c r="O78" s="86">
        <f>IFERROR(O12/N12-1,"")</f>
        <v>-7.8079994081521331E-2</v>
      </c>
      <c r="P78" s="86"/>
      <c r="Q78" s="86">
        <f>IFERROR(Q12/P12-1,"")</f>
        <v>0.55592138638651911</v>
      </c>
      <c r="R78" s="86"/>
      <c r="S78" s="86">
        <f>IFERROR(S12/R12-1,"")</f>
        <v>-3.3536105165329566E-2</v>
      </c>
      <c r="T78" s="86"/>
      <c r="U78" s="86">
        <f>IFERROR(U12/T12-1,"")</f>
        <v>1.0849157565738565E-2</v>
      </c>
      <c r="V78" s="86"/>
      <c r="W78" s="86"/>
      <c r="X78" s="86">
        <f>IFERROR(X12/W12-1,"")</f>
        <v>-0.1139911284551689</v>
      </c>
      <c r="Y78" s="86"/>
      <c r="Z78" s="86">
        <f>IFERROR(Z12/Y12-1,"")</f>
        <v>0.67460291418457508</v>
      </c>
      <c r="AA78" s="86"/>
      <c r="AB78" s="86">
        <f>IFERROR(AB12/AA12-1,"")</f>
        <v>0</v>
      </c>
      <c r="AC78" s="86"/>
      <c r="AD78" s="86">
        <f>IFERROR(AD12/AC12-1,"")</f>
        <v>-6.6837711080123041E-2</v>
      </c>
      <c r="AE78" s="86"/>
      <c r="AF78" s="86">
        <f>IFERROR(AF12/AE12-1,"")</f>
        <v>-3.111536330881659E-2</v>
      </c>
      <c r="AG78" s="86"/>
      <c r="AH78" s="86">
        <f>IFERROR(AH12/AG12-1,"")</f>
        <v>0.11014524853304031</v>
      </c>
      <c r="AI78" s="86"/>
      <c r="AJ78" s="86">
        <f>IFERROR(AJ12/AI12-1,"")</f>
        <v>-6.2145916603785545E-2</v>
      </c>
      <c r="AK78" s="86"/>
      <c r="AL78" s="86">
        <f>IFERROR(AL12/AK12-1,"")</f>
        <v>0.18578402954941575</v>
      </c>
      <c r="AM78" s="86"/>
      <c r="AN78" s="86">
        <f>IFERROR(AN12/AM12-1,"")</f>
        <v>-3.3610909795765975E-3</v>
      </c>
      <c r="AO78" s="86"/>
      <c r="AP78" s="86">
        <f>IFERROR(AP12/AO12-1,"")</f>
        <v>0.96703488082798428</v>
      </c>
      <c r="AQ78" s="86"/>
      <c r="AR78" s="86">
        <f>IFERROR(AR12/AQ12-1,"")</f>
        <v>-0.22295277690990356</v>
      </c>
      <c r="AS78" s="86"/>
      <c r="AT78" s="86">
        <f>IFERROR(AT12/AS12-1,"")</f>
        <v>0.57677814251967163</v>
      </c>
      <c r="AU78" s="86"/>
      <c r="AV78" s="86">
        <f>IFERROR(AV12/AU12-1,"")</f>
        <v>0.43382102176342063</v>
      </c>
      <c r="AW78" s="86"/>
      <c r="AX78" s="86">
        <f>IFERROR(AX12/AW12-1,"")</f>
        <v>-8.7987420273498262E-2</v>
      </c>
      <c r="AY78" s="86"/>
      <c r="AZ78" s="86">
        <f>IFERROR(AZ12/AY12-1,"")</f>
        <v>-1.2770751645664324E-2</v>
      </c>
      <c r="BA78" s="86"/>
      <c r="BB78" s="86">
        <f>IFERROR(BB12/BA12-1,"")</f>
        <v>-3.4918580974556468E-2</v>
      </c>
      <c r="BC78" s="86"/>
      <c r="BD78" s="86">
        <f>IFERROR(BD12/BC12-1,"")</f>
        <v>0.33839542589421234</v>
      </c>
      <c r="BE78" s="86"/>
      <c r="BF78" s="86">
        <f>IFERROR(BF12/BE12-1,"")</f>
        <v>-2.3022249057782496E-3</v>
      </c>
      <c r="BG78" s="86"/>
      <c r="BH78" s="86">
        <f>IFERROR(BH12/BG12-1,"")</f>
        <v>-0.23585949584895172</v>
      </c>
      <c r="BI78" s="86"/>
      <c r="BJ78" s="86">
        <f>IFERROR(BJ12/BI12-1,"")</f>
        <v>0.21024950860651703</v>
      </c>
      <c r="BK78" s="86"/>
      <c r="BL78" s="86" t="str">
        <f>IFERROR(BL12/BK12-1,"")</f>
        <v/>
      </c>
      <c r="BM78" s="86"/>
      <c r="BN78" s="86">
        <f>IFERROR(BN12/BM12-1,"")</f>
        <v>0.70973424053695311</v>
      </c>
      <c r="BO78" s="86"/>
      <c r="BP78" s="86">
        <f>IFERROR(BP12/BO12-1,"")</f>
        <v>-0.13191922639871934</v>
      </c>
      <c r="BQ78" s="86"/>
      <c r="BR78" s="86" t="str">
        <f>IFERROR(BR12/BQ12-1,"")</f>
        <v/>
      </c>
      <c r="BS78" s="86"/>
      <c r="BT78" s="86" t="str">
        <f>IFERROR(BT12/BS12-1,"")</f>
        <v/>
      </c>
      <c r="BU78" s="86"/>
      <c r="BV78" s="86">
        <f>IFERROR(BV12/BU12-1,"")</f>
        <v>-6.5675013352032185E-2</v>
      </c>
      <c r="BW78" s="86"/>
      <c r="BX78" s="86">
        <f>IFERROR(BX12/BW12-1,"")</f>
        <v>-0.10381024773838876</v>
      </c>
      <c r="BY78" s="86"/>
      <c r="BZ78" s="86">
        <f>IFERROR(BZ12/BY12-1,"")</f>
        <v>5.9844153871641437E-2</v>
      </c>
      <c r="CA78" s="86"/>
      <c r="CB78" s="86">
        <f>IFERROR(CB12/CA12-1,"")</f>
        <v>-0.10505308173833261</v>
      </c>
      <c r="CC78" s="86"/>
      <c r="CD78" s="86">
        <f>IFERROR(CD12/CC12-1,"")</f>
        <v>5.5933306834557994E-2</v>
      </c>
      <c r="CE78" s="86"/>
      <c r="CF78" s="86">
        <f>IFERROR(CF12/CE12-1,"")</f>
        <v>-0.12708619025538981</v>
      </c>
      <c r="CG78" s="86"/>
      <c r="CH78" s="86">
        <f>IFERROR(CH12/CG12-1,"")</f>
        <v>3.7093802048265401E-2</v>
      </c>
      <c r="CI78" s="86"/>
      <c r="CJ78" s="86">
        <f>IFERROR(CJ12/CI12-1,"")</f>
        <v>-0.23585949584895172</v>
      </c>
      <c r="CK78" s="86"/>
      <c r="CL78" s="86">
        <f>IFERROR(CL12/CK12-1,"")</f>
        <v>0.77162623812894937</v>
      </c>
      <c r="CM78" s="86"/>
      <c r="CN78" s="86">
        <f>IFERROR(CN12/CM12-1,"")</f>
        <v>7.6333152250493974E-3</v>
      </c>
      <c r="CO78" s="86"/>
      <c r="CP78" s="86"/>
      <c r="CQ78" s="86">
        <f>IFERROR(CQ12/CP12-1,"")</f>
        <v>7.6217350495582314E-2</v>
      </c>
      <c r="CR78" s="86"/>
      <c r="CS78" s="86">
        <f>IFERROR(CS12/CR12-1,"")</f>
        <v>2.5475569404759555</v>
      </c>
      <c r="CT78" s="86"/>
      <c r="CU78" s="86">
        <f>IFERROR(CU12/CT12-1,"")</f>
        <v>5.7775811514982234E-2</v>
      </c>
      <c r="CV78" s="86"/>
      <c r="CW78" s="86">
        <f>IFERROR(CW12/CV12-1,"")</f>
        <v>-4.0275001082591411E-3</v>
      </c>
    </row>
    <row r="79" spans="1:101" x14ac:dyDescent="0.2">
      <c r="A79" s="96" t="s">
        <v>221</v>
      </c>
      <c r="B79" s="86"/>
      <c r="C79" s="86">
        <f>IFERROR(C16/B16-1,"")</f>
        <v>0.18393046354377041</v>
      </c>
      <c r="D79" s="86"/>
      <c r="E79" s="86">
        <f>IFERROR(E16/D16-1,"")</f>
        <v>-0.63780524360088109</v>
      </c>
      <c r="F79" s="86"/>
      <c r="G79" s="86">
        <f>IFERROR(G16/F16-1,"")</f>
        <v>2.1259986675533886</v>
      </c>
      <c r="H79" s="86"/>
      <c r="I79" s="86">
        <f>IFERROR(I16/H16-1,"")</f>
        <v>-0.13940335433405082</v>
      </c>
      <c r="J79" s="86"/>
      <c r="K79" s="86">
        <f>IFERROR(K16/J16-1,"")</f>
        <v>0.49056339887991096</v>
      </c>
      <c r="L79" s="86"/>
      <c r="M79" s="86">
        <f>IFERROR(M16/L16-1,"")</f>
        <v>-2.9679863913275151E-2</v>
      </c>
      <c r="N79" s="86"/>
      <c r="O79" s="86">
        <f>IFERROR(O16/N16-1,"")</f>
        <v>-0.39070905846180881</v>
      </c>
      <c r="P79" s="86"/>
      <c r="Q79" s="86">
        <f>IFERROR(Q16/P16-1,"")</f>
        <v>1.2231855548186461</v>
      </c>
      <c r="R79" s="86"/>
      <c r="S79" s="86">
        <f>IFERROR(S16/R16-1,"")</f>
        <v>-0.13940335433405082</v>
      </c>
      <c r="T79" s="86"/>
      <c r="U79" s="86">
        <f>IFERROR(U16/T16-1,"")</f>
        <v>-1.3411056587368075E-2</v>
      </c>
      <c r="V79" s="86"/>
      <c r="W79" s="86"/>
      <c r="X79" s="86">
        <f>IFERROR(X16/W16-1,"")</f>
        <v>-0.74414460952209827</v>
      </c>
      <c r="Y79" s="86"/>
      <c r="Z79" s="86">
        <f>IFERROR(Z16/Y16-1,"")</f>
        <v>2.2205550064318089</v>
      </c>
      <c r="AA79" s="86"/>
      <c r="AB79" s="86" t="str">
        <f>IFERROR(AB16/AA16-1,"")</f>
        <v/>
      </c>
      <c r="AC79" s="86"/>
      <c r="AD79" s="86">
        <f>IFERROR(AD16/AC16-1,"")</f>
        <v>5.1115367427996272E-2</v>
      </c>
      <c r="AE79" s="86"/>
      <c r="AF79" s="86">
        <f>IFERROR(AF16/AE16-1,"")</f>
        <v>-8.7743219173621489E-2</v>
      </c>
      <c r="AG79" s="86"/>
      <c r="AH79" s="86">
        <f>IFERROR(AH16/AG16-1,"")</f>
        <v>-0.31948643703255342</v>
      </c>
      <c r="AI79" s="86"/>
      <c r="AJ79" s="86">
        <f>IFERROR(AJ16/AI16-1,"")</f>
        <v>-0.1092274798644346</v>
      </c>
      <c r="AK79" s="86"/>
      <c r="AL79" s="86">
        <f>IFERROR(AL16/AK16-1,"")</f>
        <v>0.15207659715579669</v>
      </c>
      <c r="AM79" s="86"/>
      <c r="AN79" s="86">
        <f>IFERROR(AN16/AM16-1,"")</f>
        <v>-0.13496252519899032</v>
      </c>
      <c r="AO79" s="86"/>
      <c r="AP79" s="86">
        <f>IFERROR(AP16/AO16-1,"")</f>
        <v>2.4507784378965023</v>
      </c>
      <c r="AQ79" s="86"/>
      <c r="AR79" s="86">
        <f>IFERROR(AR16/AQ16-1,"")</f>
        <v>0.12505159110195807</v>
      </c>
      <c r="AS79" s="86"/>
      <c r="AT79" s="86">
        <f>IFERROR(AT16/AS16-1,"")</f>
        <v>3.4537276250999156</v>
      </c>
      <c r="AU79" s="86"/>
      <c r="AV79" s="86">
        <f>IFERROR(AV16/AU16-1,"")</f>
        <v>4.2012959965592627</v>
      </c>
      <c r="AW79" s="86"/>
      <c r="AX79" s="86">
        <f>IFERROR(AX16/AW16-1,"")</f>
        <v>-0.4038378392932912</v>
      </c>
      <c r="AY79" s="86"/>
      <c r="AZ79" s="86">
        <f>IFERROR(AZ16/AY16-1,"")</f>
        <v>-0.11490388447297684</v>
      </c>
      <c r="BA79" s="86"/>
      <c r="BB79" s="86">
        <f>IFERROR(BB16/BA16-1,"")</f>
        <v>-9.4404035785635831E-2</v>
      </c>
      <c r="BC79" s="86"/>
      <c r="BD79" s="86">
        <f>IFERROR(BD16/BC16-1,"")</f>
        <v>0.15165348975562498</v>
      </c>
      <c r="BE79" s="86"/>
      <c r="BF79" s="86">
        <f>IFERROR(BF16/BE16-1,"")</f>
        <v>0.13152206108010867</v>
      </c>
      <c r="BG79" s="86"/>
      <c r="BH79" s="86">
        <f>IFERROR(BH16/BG16-1,"")</f>
        <v>-0.23646411443788518</v>
      </c>
      <c r="BI79" s="86"/>
      <c r="BJ79" s="86">
        <f>IFERROR(BJ16/BI16-1,"")</f>
        <v>2.8782200931111261</v>
      </c>
      <c r="BK79" s="86"/>
      <c r="BL79" s="86" t="str">
        <f>IFERROR(BL16/BK16-1,"")</f>
        <v/>
      </c>
      <c r="BM79" s="86"/>
      <c r="BN79" s="86">
        <f>IFERROR(BN16/BM16-1,"")</f>
        <v>2.2606924628259901</v>
      </c>
      <c r="BO79" s="86"/>
      <c r="BP79" s="86">
        <f>IFERROR(BP16/BO16-1,"")</f>
        <v>-0.2806037371074529</v>
      </c>
      <c r="BQ79" s="86"/>
      <c r="BR79" s="86" t="str">
        <f>IFERROR(BR16/BQ16-1,"")</f>
        <v/>
      </c>
      <c r="BS79" s="86"/>
      <c r="BT79" s="86" t="str">
        <f>IFERROR(BT16/BS16-1,"")</f>
        <v/>
      </c>
      <c r="BU79" s="86"/>
      <c r="BV79" s="86">
        <f>IFERROR(BV16/BU16-1,"")</f>
        <v>-0.17456064913526859</v>
      </c>
      <c r="BW79" s="86"/>
      <c r="BX79" s="86">
        <f>IFERROR(BX16/BW16-1,"")</f>
        <v>-0.4819827992646305</v>
      </c>
      <c r="BY79" s="86"/>
      <c r="BZ79" s="86">
        <f>IFERROR(BZ16/BY16-1,"")</f>
        <v>2.3237959632380623E-2</v>
      </c>
      <c r="CA79" s="86"/>
      <c r="CB79" s="86">
        <f>IFERROR(CB16/CA16-1,"")</f>
        <v>-0.15146190669152915</v>
      </c>
      <c r="CC79" s="86"/>
      <c r="CD79" s="86">
        <f>IFERROR(CD16/CC16-1,"")</f>
        <v>-0.21532898897814146</v>
      </c>
      <c r="CE79" s="86"/>
      <c r="CF79" s="86">
        <f>IFERROR(CF16/CE16-1,"")</f>
        <v>-6.1916662985348814E-2</v>
      </c>
      <c r="CG79" s="86"/>
      <c r="CH79" s="86">
        <f>IFERROR(CH16/CG16-1,"")</f>
        <v>-0.20313116695171685</v>
      </c>
      <c r="CI79" s="86"/>
      <c r="CJ79" s="86">
        <f>IFERROR(CJ16/CI16-1,"")</f>
        <v>-0.23646411443788518</v>
      </c>
      <c r="CK79" s="86"/>
      <c r="CL79" s="86">
        <f>IFERROR(CL16/CK16-1,"")</f>
        <v>3.1156102654442392</v>
      </c>
      <c r="CM79" s="86"/>
      <c r="CN79" s="86">
        <f>IFERROR(CN16/CM16-1,"")</f>
        <v>-0.44635291245333297</v>
      </c>
      <c r="CO79" s="86"/>
      <c r="CP79" s="86"/>
      <c r="CQ79" s="86">
        <f>IFERROR(CQ16/CP16-1,"")</f>
        <v>0.15099952429097785</v>
      </c>
      <c r="CR79" s="86"/>
      <c r="CS79" s="86">
        <f>IFERROR(CS16/CR16-1,"")</f>
        <v>3.0362079633596508</v>
      </c>
      <c r="CT79" s="86"/>
      <c r="CU79" s="86">
        <f>IFERROR(CU16/CT16-1,"")</f>
        <v>-0.21585851331420891</v>
      </c>
      <c r="CV79" s="86"/>
      <c r="CW79" s="86">
        <f>IFERROR(CW16/CV16-1,"")</f>
        <v>-3.737709174621473E-2</v>
      </c>
    </row>
    <row r="80" spans="1:101" x14ac:dyDescent="0.2">
      <c r="A80" s="96" t="s">
        <v>222</v>
      </c>
      <c r="B80" s="86"/>
      <c r="C80" s="86">
        <f>IFERROR(C32/B32-1,"")</f>
        <v>0.21597593672569526</v>
      </c>
      <c r="D80" s="86"/>
      <c r="E80" s="86">
        <f>IFERROR(E32/D32-1,"")</f>
        <v>-0.13224561300111826</v>
      </c>
      <c r="F80" s="86"/>
      <c r="G80" s="86">
        <f>IFERROR(G32/F32-1,"")</f>
        <v>0.1346403762372963</v>
      </c>
      <c r="H80" s="86"/>
      <c r="I80" s="86">
        <f>IFERROR(I32/H32-1,"")</f>
        <v>5.0811211688724933E-2</v>
      </c>
      <c r="J80" s="86"/>
      <c r="K80" s="86">
        <f>IFERROR(K32/J32-1,"")</f>
        <v>7.5615617168152127E-3</v>
      </c>
      <c r="L80" s="86"/>
      <c r="M80" s="86">
        <f>IFERROR(M32/L32-1,"")</f>
        <v>0.35392465736816336</v>
      </c>
      <c r="N80" s="86"/>
      <c r="O80" s="86">
        <f>IFERROR(O32/N32-1,"")</f>
        <v>8.3641446842353862E-2</v>
      </c>
      <c r="P80" s="86"/>
      <c r="Q80" s="86">
        <f>IFERROR(Q32/P32-1,"")</f>
        <v>0.14891690410284641</v>
      </c>
      <c r="R80" s="86"/>
      <c r="S80" s="86">
        <f>IFERROR(S32/R32-1,"")</f>
        <v>5.0811211688724933E-2</v>
      </c>
      <c r="T80" s="86"/>
      <c r="U80" s="86">
        <f>IFERROR(U32/T32-1,"")</f>
        <v>1.7075914448659413E-2</v>
      </c>
      <c r="V80" s="86"/>
      <c r="W80" s="86"/>
      <c r="X80" s="86">
        <f>IFERROR(X32/W32-1,"")</f>
        <v>0.15203481619256354</v>
      </c>
      <c r="Y80" s="86"/>
      <c r="Z80" s="86">
        <f>IFERROR(Z32/Y32-1,"")</f>
        <v>0.11155063548863531</v>
      </c>
      <c r="AA80" s="86"/>
      <c r="AB80" s="86">
        <f>IFERROR(AB32/AA32-1,"")</f>
        <v>0</v>
      </c>
      <c r="AC80" s="86"/>
      <c r="AD80" s="86">
        <f>IFERROR(AD32/AC32-1,"")</f>
        <v>-9.9677043812893551E-2</v>
      </c>
      <c r="AE80" s="86"/>
      <c r="AF80" s="86">
        <f>IFERROR(AF32/AE32-1,"")</f>
        <v>7.6156107173848131E-3</v>
      </c>
      <c r="AG80" s="86"/>
      <c r="AH80" s="86">
        <f>IFERROR(AH32/AG32-1,"")</f>
        <v>0.37207848892148365</v>
      </c>
      <c r="AI80" s="86"/>
      <c r="AJ80" s="86">
        <f>IFERROR(AJ32/AI32-1,"")</f>
        <v>2.3401815835815132E-3</v>
      </c>
      <c r="AK80" s="86"/>
      <c r="AL80" s="86">
        <f>IFERROR(AL32/AK32-1,"")</f>
        <v>0.23534874800371663</v>
      </c>
      <c r="AM80" s="86"/>
      <c r="AN80" s="86">
        <f>IFERROR(AN32/AM32-1,"")</f>
        <v>8.2401256647552046E-2</v>
      </c>
      <c r="AO80" s="86"/>
      <c r="AP80" s="86">
        <f>IFERROR(AP32/AO32-1,"")</f>
        <v>-5.606527476875419</v>
      </c>
      <c r="AQ80" s="86"/>
      <c r="AR80" s="86">
        <f>IFERROR(AR32/AQ32-1,"")</f>
        <v>-0.45192114444526088</v>
      </c>
      <c r="AS80" s="86"/>
      <c r="AT80" s="86">
        <f>IFERROR(AT32/AS32-1,"")</f>
        <v>-0.63016528243889802</v>
      </c>
      <c r="AU80" s="86"/>
      <c r="AV80" s="86">
        <f>IFERROR(AV32/AU32-1,"")</f>
        <v>0.11117384943955289</v>
      </c>
      <c r="AW80" s="86"/>
      <c r="AX80" s="86">
        <f>IFERROR(AX32/AW32-1,"")</f>
        <v>4.7358436221434541E-2</v>
      </c>
      <c r="AY80" s="86"/>
      <c r="AZ80" s="86">
        <f>IFERROR(AZ32/AY32-1,"")</f>
        <v>2.1028694748621124E-2</v>
      </c>
      <c r="BA80" s="86"/>
      <c r="BB80" s="86">
        <f>IFERROR(BB32/BA32-1,"")</f>
        <v>0.16248915720004731</v>
      </c>
      <c r="BC80" s="86"/>
      <c r="BD80" s="86">
        <f>IFERROR(BD32/BC32-1,"")</f>
        <v>0.50506547655130207</v>
      </c>
      <c r="BE80" s="86"/>
      <c r="BF80" s="86">
        <f>IFERROR(BF32/BE32-1,"")</f>
        <v>-1.5302488799198093</v>
      </c>
      <c r="BG80" s="86"/>
      <c r="BH80" s="86">
        <f>IFERROR(BH32/BG32-1,"")</f>
        <v>-0.2001392272885486</v>
      </c>
      <c r="BI80" s="86"/>
      <c r="BJ80" s="86">
        <f>IFERROR(BJ32/BI32-1,"")</f>
        <v>-1.1899010101237062E-2</v>
      </c>
      <c r="BK80" s="86"/>
      <c r="BL80" s="86" t="str">
        <f>IFERROR(BL32/BK32-1,"")</f>
        <v/>
      </c>
      <c r="BM80" s="86"/>
      <c r="BN80" s="86">
        <f>IFERROR(BN32/BM32-1,"")</f>
        <v>0.19960588634688725</v>
      </c>
      <c r="BO80" s="86"/>
      <c r="BP80" s="86">
        <f>IFERROR(BP32/BO32-1,"")</f>
        <v>0.18861141732905518</v>
      </c>
      <c r="BQ80" s="86"/>
      <c r="BR80" s="86" t="str">
        <f>IFERROR(BR32/BQ32-1,"")</f>
        <v/>
      </c>
      <c r="BS80" s="86"/>
      <c r="BT80" s="86" t="str">
        <f>IFERROR(BT32/BS32-1,"")</f>
        <v/>
      </c>
      <c r="BU80" s="86"/>
      <c r="BV80" s="86">
        <f>IFERROR(BV32/BU32-1,"")</f>
        <v>2.9615402726643283</v>
      </c>
      <c r="BW80" s="86"/>
      <c r="BX80" s="86">
        <f>IFERROR(BX32/BW32-1,"")</f>
        <v>4.3005076641602358E-3</v>
      </c>
      <c r="BY80" s="86"/>
      <c r="BZ80" s="86">
        <f>IFERROR(BZ32/BY32-1,"")</f>
        <v>0.12858668422066666</v>
      </c>
      <c r="CA80" s="86"/>
      <c r="CB80" s="86">
        <f>IFERROR(CB32/CA32-1,"")</f>
        <v>-3.4776619702889477E-2</v>
      </c>
      <c r="CC80" s="86"/>
      <c r="CD80" s="86">
        <f>IFERROR(CD32/CC32-1,"")</f>
        <v>0.14242985436906874</v>
      </c>
      <c r="CE80" s="86"/>
      <c r="CF80" s="86">
        <f>IFERROR(CF32/CE32-1,"")</f>
        <v>-0.26700403115582538</v>
      </c>
      <c r="CG80" s="86"/>
      <c r="CH80" s="86">
        <f>IFERROR(CH32/CG32-1,"")</f>
        <v>5.4438375682735796E-2</v>
      </c>
      <c r="CI80" s="86"/>
      <c r="CJ80" s="86">
        <f>IFERROR(CJ32/CI32-1,"")</f>
        <v>-0.2001392272885486</v>
      </c>
      <c r="CK80" s="86"/>
      <c r="CL80" s="86">
        <f>IFERROR(CL32/CK32-1,"")</f>
        <v>0.13643091553609832</v>
      </c>
      <c r="CM80" s="86"/>
      <c r="CN80" s="86">
        <f>IFERROR(CN32/CM32-1,"")</f>
        <v>1.7818615761851619</v>
      </c>
      <c r="CO80" s="86"/>
      <c r="CP80" s="86"/>
      <c r="CQ80" s="86">
        <f>IFERROR(CQ32/CP32-1,"")</f>
        <v>1.2825670892830932E-3</v>
      </c>
      <c r="CR80" s="86"/>
      <c r="CS80" s="86">
        <f>IFERROR(CS32/CR32-1,"")</f>
        <v>2.287006494729944</v>
      </c>
      <c r="CT80" s="86"/>
      <c r="CU80" s="86">
        <f>IFERROR(CU32/CT32-1,"")</f>
        <v>8.4004972533033184E-2</v>
      </c>
      <c r="CV80" s="86"/>
      <c r="CW80" s="86">
        <f>IFERROR(CW32/CV32-1,"")</f>
        <v>7.5202685295739258E-2</v>
      </c>
    </row>
    <row r="81" spans="1:101" x14ac:dyDescent="0.2">
      <c r="A81" s="96" t="s">
        <v>61</v>
      </c>
      <c r="B81" s="86"/>
      <c r="C81" s="86">
        <f>IFERROR(C37/B37-1,"")</f>
        <v>0.32834557991941771</v>
      </c>
      <c r="D81" s="86"/>
      <c r="E81" s="86">
        <f>IFERROR(E37/D37-1,"")</f>
        <v>-0.47521062118153967</v>
      </c>
      <c r="F81" s="86"/>
      <c r="G81" s="86">
        <f>IFERROR(G37/F37-1,"")</f>
        <v>0.98987617205205725</v>
      </c>
      <c r="H81" s="86"/>
      <c r="I81" s="86">
        <f>IFERROR(I37/H37-1,"")</f>
        <v>-0.26531040802351002</v>
      </c>
      <c r="J81" s="86"/>
      <c r="K81" s="86">
        <f>IFERROR(K37/J37-1,"")</f>
        <v>-0.28675524795591523</v>
      </c>
      <c r="L81" s="86"/>
      <c r="M81" s="86">
        <f>IFERROR(M37/L37-1,"")</f>
        <v>4.2073332167829269E-2</v>
      </c>
      <c r="N81" s="86"/>
      <c r="O81" s="86">
        <f>IFERROR(O37/N37-1,"")</f>
        <v>1.7696729096958741E-2</v>
      </c>
      <c r="P81" s="86"/>
      <c r="Q81" s="86">
        <f>IFERROR(Q37/P37-1,"")</f>
        <v>7.3699562949901321E-2</v>
      </c>
      <c r="R81" s="86"/>
      <c r="S81" s="86">
        <f>IFERROR(S37/R37-1,"")</f>
        <v>-0.26531040802351002</v>
      </c>
      <c r="T81" s="86"/>
      <c r="U81" s="86">
        <f>IFERROR(U37/T37-1,"")</f>
        <v>-0.11728343675172337</v>
      </c>
      <c r="V81" s="86"/>
      <c r="W81" s="86"/>
      <c r="X81" s="86">
        <f>IFERROR(X37/W37-1,"")</f>
        <v>0.2051986961094876</v>
      </c>
      <c r="Y81" s="86"/>
      <c r="Z81" s="86">
        <f>IFERROR(Z37/Y37-1,"")</f>
        <v>1.2263746232248756</v>
      </c>
      <c r="AA81" s="86"/>
      <c r="AB81" s="86" t="str">
        <f>IFERROR(AB37/AA37-1,"")</f>
        <v/>
      </c>
      <c r="AC81" s="86"/>
      <c r="AD81" s="86">
        <f>IFERROR(AD37/AC37-1,"")</f>
        <v>-0.30640363308631569</v>
      </c>
      <c r="AE81" s="86"/>
      <c r="AF81" s="86">
        <f>IFERROR(AF37/AE37-1,"")</f>
        <v>-8.8315839045722266E-2</v>
      </c>
      <c r="AG81" s="86"/>
      <c r="AH81" s="86">
        <f>IFERROR(AH37/AG37-1,"")</f>
        <v>0.32701887858633572</v>
      </c>
      <c r="AI81" s="86"/>
      <c r="AJ81" s="86">
        <f>IFERROR(AJ37/AI37-1,"")</f>
        <v>0.18337452123361442</v>
      </c>
      <c r="AK81" s="86"/>
      <c r="AL81" s="86">
        <f>IFERROR(AL37/AK37-1,"")</f>
        <v>0.11090234053867243</v>
      </c>
      <c r="AM81" s="86"/>
      <c r="AN81" s="86">
        <f>IFERROR(AN37/AM37-1,"")</f>
        <v>-0.23368506271646849</v>
      </c>
      <c r="AO81" s="86"/>
      <c r="AP81" s="86">
        <f>IFERROR(AP37/AO37-1,"")</f>
        <v>0.49384322376117851</v>
      </c>
      <c r="AQ81" s="86"/>
      <c r="AR81" s="86">
        <f>IFERROR(AR37/AQ37-1,"")</f>
        <v>-0.63274616049275845</v>
      </c>
      <c r="AS81" s="86"/>
      <c r="AT81" s="86">
        <f>IFERROR(AT37/AS37-1,"")</f>
        <v>-0.87116998588623684</v>
      </c>
      <c r="AU81" s="86"/>
      <c r="AV81" s="86">
        <f>IFERROR(AV37/AU37-1,"")</f>
        <v>-0.20161932946578165</v>
      </c>
      <c r="AW81" s="86"/>
      <c r="AX81" s="86">
        <f>IFERROR(AX37/AW37-1,"")</f>
        <v>-4.943334499778429E-2</v>
      </c>
      <c r="AY81" s="86"/>
      <c r="AZ81" s="86">
        <f>IFERROR(AZ37/AY37-1,"")</f>
        <v>-7.9726019973193951E-2</v>
      </c>
      <c r="BA81" s="86"/>
      <c r="BB81" s="86">
        <f>IFERROR(BB37/BA37-1,"")</f>
        <v>0.55531415328585654</v>
      </c>
      <c r="BC81" s="86"/>
      <c r="BD81" s="86">
        <f>IFERROR(BD37/BC37-1,"")</f>
        <v>0.49860239570840781</v>
      </c>
      <c r="BE81" s="86"/>
      <c r="BF81" s="86" t="str">
        <f>IFERROR(BF37/BE37-1,"")</f>
        <v/>
      </c>
      <c r="BG81" s="86"/>
      <c r="BH81" s="86">
        <f>IFERROR(BH37/BG37-1,"")</f>
        <v>0.12545102291107524</v>
      </c>
      <c r="BI81" s="86"/>
      <c r="BJ81" s="86">
        <f>IFERROR(BJ37/BI37-1,"")</f>
        <v>0.31939942000969923</v>
      </c>
      <c r="BK81" s="86"/>
      <c r="BL81" s="86" t="str">
        <f>IFERROR(BL37/BK37-1,"")</f>
        <v/>
      </c>
      <c r="BM81" s="86"/>
      <c r="BN81" s="86">
        <f>IFERROR(BN37/BM37-1,"")</f>
        <v>-0.98247696648370419</v>
      </c>
      <c r="BO81" s="86"/>
      <c r="BP81" s="86">
        <f>IFERROR(BP37/BO37-1,"")</f>
        <v>0.53927309117404043</v>
      </c>
      <c r="BQ81" s="86"/>
      <c r="BR81" s="86" t="str">
        <f>IFERROR(BR37/BQ37-1,"")</f>
        <v/>
      </c>
      <c r="BS81" s="86"/>
      <c r="BT81" s="86" t="str">
        <f>IFERROR(BT37/BS37-1,"")</f>
        <v/>
      </c>
      <c r="BU81" s="86"/>
      <c r="BV81" s="86">
        <f>IFERROR(BV37/BU37-1,"")</f>
        <v>0.18365359279876037</v>
      </c>
      <c r="BW81" s="86"/>
      <c r="BX81" s="86">
        <f>IFERROR(BX37/BW37-1,"")</f>
        <v>0.20690781172008177</v>
      </c>
      <c r="BY81" s="86"/>
      <c r="BZ81" s="86">
        <f>IFERROR(BZ37/BY37-1,"")</f>
        <v>0.2252287500471668</v>
      </c>
      <c r="CA81" s="86"/>
      <c r="CB81" s="86">
        <f>IFERROR(CB37/CA37-1,"")</f>
        <v>0.21739185581733977</v>
      </c>
      <c r="CC81" s="86"/>
      <c r="CD81" s="86">
        <f>IFERROR(CD37/CC37-1,"")</f>
        <v>0.1924645653837922</v>
      </c>
      <c r="CE81" s="86"/>
      <c r="CF81" s="86">
        <f>IFERROR(CF37/CE37-1,"")</f>
        <v>-0.16350240114326609</v>
      </c>
      <c r="CG81" s="86"/>
      <c r="CH81" s="86">
        <f>IFERROR(CH37/CG37-1,"")</f>
        <v>-0.50042880727257133</v>
      </c>
      <c r="CI81" s="86"/>
      <c r="CJ81" s="86">
        <f>IFERROR(CJ37/CI37-1,"")</f>
        <v>0.12545102291107524</v>
      </c>
      <c r="CK81" s="86"/>
      <c r="CL81" s="86">
        <f>IFERROR(CL37/CK37-1,"")</f>
        <v>0.81497059530296956</v>
      </c>
      <c r="CM81" s="86"/>
      <c r="CN81" s="86">
        <f>IFERROR(CN37/CM37-1,"")</f>
        <v>0.35226122483689948</v>
      </c>
      <c r="CO81" s="86"/>
      <c r="CP81" s="86"/>
      <c r="CQ81" s="86">
        <f>IFERROR(CQ37/CP37-1,"")</f>
        <v>-4.4302679704299242E-2</v>
      </c>
      <c r="CR81" s="86"/>
      <c r="CS81" s="86">
        <f>IFERROR(CS37/CR37-1,"")</f>
        <v>35.653147201749192</v>
      </c>
      <c r="CT81" s="86"/>
      <c r="CU81" s="86">
        <f>IFERROR(CU37/CT37-1,"")</f>
        <v>-0.48707518469821465</v>
      </c>
      <c r="CV81" s="86"/>
      <c r="CW81" s="86">
        <f>IFERROR(CW37/CV37-1,"")</f>
        <v>-0.35859661275364818</v>
      </c>
    </row>
    <row r="82" spans="1:101" x14ac:dyDescent="0.2">
      <c r="A82" s="96" t="s">
        <v>223</v>
      </c>
      <c r="B82" s="86"/>
      <c r="C82" s="86">
        <f>IFERROR(C38/B38-1,"")</f>
        <v>0.32898066175474416</v>
      </c>
      <c r="D82" s="86"/>
      <c r="E82" s="86">
        <f>IFERROR(E38/D38-1,"")</f>
        <v>-0.41169186761607846</v>
      </c>
      <c r="F82" s="86"/>
      <c r="G82" s="86">
        <f>IFERROR(G38/F38-1,"")</f>
        <v>0.79658055770476133</v>
      </c>
      <c r="H82" s="86"/>
      <c r="I82" s="86">
        <f>IFERROR(I38/H38-1,"")</f>
        <v>-0.25725404367973326</v>
      </c>
      <c r="J82" s="86"/>
      <c r="K82" s="86">
        <f>IFERROR(K38/J38-1,"")</f>
        <v>7.2532684203516133</v>
      </c>
      <c r="L82" s="86"/>
      <c r="M82" s="86">
        <f>IFERROR(M38/L38-1,"")</f>
        <v>9.7803667507119219E-3</v>
      </c>
      <c r="N82" s="86"/>
      <c r="O82" s="86">
        <f>IFERROR(O38/N38-1,"")</f>
        <v>-0.10328601811751148</v>
      </c>
      <c r="P82" s="86"/>
      <c r="Q82" s="86">
        <f>IFERROR(Q38/P38-1,"")</f>
        <v>0.12106945573658701</v>
      </c>
      <c r="R82" s="86"/>
      <c r="S82" s="86">
        <f>IFERROR(S38/R38-1,"")</f>
        <v>-0.25725404367973326</v>
      </c>
      <c r="T82" s="86"/>
      <c r="U82" s="86">
        <f>IFERROR(U38/T38-1,"")</f>
        <v>-0.50825901236333704</v>
      </c>
      <c r="V82" s="86"/>
      <c r="W82" s="86"/>
      <c r="X82" s="86">
        <f>IFERROR(X38/W38-1,"")</f>
        <v>9.3814330924248956E-3</v>
      </c>
      <c r="Y82" s="86"/>
      <c r="Z82" s="86" t="str">
        <f>IFERROR(Z38/Y38-1,"")</f>
        <v/>
      </c>
      <c r="AA82" s="86"/>
      <c r="AB82" s="86" t="str">
        <f>IFERROR(AB38/AA38-1,"")</f>
        <v/>
      </c>
      <c r="AC82" s="86"/>
      <c r="AD82" s="86">
        <f>IFERROR(AD38/AC38-1,"")</f>
        <v>-0.34212196040300935</v>
      </c>
      <c r="AE82" s="86"/>
      <c r="AF82" s="86">
        <f>IFERROR(AF38/AE38-1,"")</f>
        <v>-0.29300774054470968</v>
      </c>
      <c r="AG82" s="86"/>
      <c r="AH82" s="86">
        <f>IFERROR(AH38/AG38-1,"")</f>
        <v>0.2630714347701204</v>
      </c>
      <c r="AI82" s="86"/>
      <c r="AJ82" s="86">
        <f>IFERROR(AJ38/AI38-1,"")</f>
        <v>0.2012753058579928</v>
      </c>
      <c r="AK82" s="86"/>
      <c r="AL82" s="86" t="str">
        <f>IFERROR(AL38/AK38-1,"")</f>
        <v/>
      </c>
      <c r="AM82" s="86"/>
      <c r="AN82" s="86">
        <f>IFERROR(AN38/AM38-1,"")</f>
        <v>0.10055313102608343</v>
      </c>
      <c r="AO82" s="86"/>
      <c r="AP82" s="86">
        <f>IFERROR(AP38/AO38-1,"")</f>
        <v>0.15585367967927199</v>
      </c>
      <c r="AQ82" s="86"/>
      <c r="AR82" s="86">
        <f>IFERROR(AR38/AQ38-1,"")</f>
        <v>-0.34192536424172715</v>
      </c>
      <c r="AS82" s="86"/>
      <c r="AT82" s="86">
        <f>IFERROR(AT38/AS38-1,"")</f>
        <v>-0.5946571700605543</v>
      </c>
      <c r="AU82" s="86"/>
      <c r="AV82" s="86">
        <f>IFERROR(AV38/AU38-1,"")</f>
        <v>-0.52879560440946094</v>
      </c>
      <c r="AW82" s="86"/>
      <c r="AX82" s="86">
        <f>IFERROR(AX38/AW38-1,"")</f>
        <v>3.2366112582765671E-2</v>
      </c>
      <c r="AY82" s="86"/>
      <c r="AZ82" s="86" t="str">
        <f>IFERROR(AZ38/AY38-1,"")</f>
        <v/>
      </c>
      <c r="BA82" s="86"/>
      <c r="BB82" s="86">
        <f>IFERROR(BB38/BA38-1,"")</f>
        <v>4.9146185771182349E-2</v>
      </c>
      <c r="BC82" s="86"/>
      <c r="BD82" s="86">
        <f>IFERROR(BD38/BC38-1,"")</f>
        <v>0.6132100334079551</v>
      </c>
      <c r="BE82" s="86"/>
      <c r="BF82" s="86" t="str">
        <f>IFERROR(BF38/BE38-1,"")</f>
        <v/>
      </c>
      <c r="BG82" s="86"/>
      <c r="BH82" s="86">
        <f>IFERROR(BH38/BG38-1,"")</f>
        <v>1.5119390176182579E-2</v>
      </c>
      <c r="BI82" s="86"/>
      <c r="BJ82" s="86">
        <f>IFERROR(BJ38/BI38-1,"")</f>
        <v>0.9200924003473443</v>
      </c>
      <c r="BK82" s="86"/>
      <c r="BL82" s="86" t="str">
        <f>IFERROR(BL38/BK38-1,"")</f>
        <v/>
      </c>
      <c r="BM82" s="86"/>
      <c r="BN82" s="86">
        <f>IFERROR(BN38/BM38-1,"")</f>
        <v>0.64849504198500507</v>
      </c>
      <c r="BO82" s="86"/>
      <c r="BP82" s="86">
        <f>IFERROR(BP38/BO38-1,"")</f>
        <v>0.60556365530953604</v>
      </c>
      <c r="BQ82" s="86"/>
      <c r="BR82" s="86" t="str">
        <f>IFERROR(BR38/BQ38-1,"")</f>
        <v/>
      </c>
      <c r="BS82" s="86"/>
      <c r="BT82" s="86" t="str">
        <f>IFERROR(BT38/BS38-1,"")</f>
        <v/>
      </c>
      <c r="BU82" s="86"/>
      <c r="BV82" s="86">
        <f>IFERROR(BV38/BU38-1,"")</f>
        <v>-0.12467056162441537</v>
      </c>
      <c r="BW82" s="86"/>
      <c r="BX82" s="86">
        <f>IFERROR(BX38/BW38-1,"")</f>
        <v>0.26766054089090385</v>
      </c>
      <c r="BY82" s="86"/>
      <c r="BZ82" s="86">
        <f>IFERROR(BZ38/BY38-1,"")</f>
        <v>0.46095533458005433</v>
      </c>
      <c r="CA82" s="86"/>
      <c r="CB82" s="86">
        <f>IFERROR(CB38/CA38-1,"")</f>
        <v>0.94541617171569592</v>
      </c>
      <c r="CC82" s="86"/>
      <c r="CD82" s="86">
        <f>IFERROR(CD38/CC38-1,"")</f>
        <v>0.13138478636199036</v>
      </c>
      <c r="CE82" s="86"/>
      <c r="CF82" s="86">
        <f>IFERROR(CF38/CE38-1,"")</f>
        <v>-0.15863768245482823</v>
      </c>
      <c r="CG82" s="86"/>
      <c r="CH82" s="86">
        <f>IFERROR(CH38/CG38-1,"")</f>
        <v>-0.39595104914960677</v>
      </c>
      <c r="CI82" s="86"/>
      <c r="CJ82" s="86">
        <f>IFERROR(CJ38/CI38-1,"")</f>
        <v>1.5119390176182579E-2</v>
      </c>
      <c r="CK82" s="86"/>
      <c r="CL82" s="86" t="str">
        <f>IFERROR(CL38/CK38-1,"")</f>
        <v/>
      </c>
      <c r="CM82" s="86"/>
      <c r="CN82" s="86">
        <f>IFERROR(CN38/CM38-1,"")</f>
        <v>-0.12804043970495849</v>
      </c>
      <c r="CO82" s="86"/>
      <c r="CP82" s="86"/>
      <c r="CQ82" s="86">
        <f>IFERROR(CQ38/CP38-1,"")</f>
        <v>0.10384143597101803</v>
      </c>
      <c r="CR82" s="86"/>
      <c r="CS82" s="86">
        <f>IFERROR(CS38/CR38-1,"")</f>
        <v>337.46516747933009</v>
      </c>
      <c r="CT82" s="86"/>
      <c r="CU82" s="86" t="str">
        <f>IFERROR(CU38/CT38-1,"")</f>
        <v/>
      </c>
      <c r="CV82" s="86"/>
      <c r="CW82" s="86">
        <f>IFERROR(CW38/CV38-1,"")</f>
        <v>0.27962212545562859</v>
      </c>
    </row>
    <row r="83" spans="1:101" x14ac:dyDescent="0.2">
      <c r="A83" s="96" t="s">
        <v>224</v>
      </c>
      <c r="B83" s="86"/>
      <c r="C83" s="86">
        <f>IFERROR(C39/B39-1,"")</f>
        <v>0.16505959400471637</v>
      </c>
      <c r="D83" s="86"/>
      <c r="E83" s="86">
        <f>IFERROR(E39/D39-1,"")</f>
        <v>-0.11085788499449212</v>
      </c>
      <c r="F83" s="86"/>
      <c r="G83" s="86">
        <f>IFERROR(G39/F39-1,"")</f>
        <v>0.78348279182752201</v>
      </c>
      <c r="H83" s="86"/>
      <c r="I83" s="86">
        <f>IFERROR(I39/H39-1,"")</f>
        <v>-0.11123258829196536</v>
      </c>
      <c r="J83" s="86"/>
      <c r="K83" s="86">
        <f>IFERROR(K39/J39-1,"")</f>
        <v>-0.49918022487313884</v>
      </c>
      <c r="L83" s="86"/>
      <c r="M83" s="86" t="str">
        <f>IFERROR(M39/L39-1,"")</f>
        <v/>
      </c>
      <c r="N83" s="86"/>
      <c r="O83" s="86">
        <f>IFERROR(O39/N39-1,"")</f>
        <v>-0.23099237619117141</v>
      </c>
      <c r="P83" s="86"/>
      <c r="Q83" s="86">
        <f>IFERROR(Q39/P39-1,"")</f>
        <v>0.71326076727339993</v>
      </c>
      <c r="R83" s="86"/>
      <c r="S83" s="86">
        <f>IFERROR(S39/R39-1,"")</f>
        <v>-0.11123258829196536</v>
      </c>
      <c r="T83" s="86"/>
      <c r="U83" s="86">
        <f>IFERROR(U39/T39-1,"")</f>
        <v>-7.0327146834550547E-2</v>
      </c>
      <c r="V83" s="86"/>
      <c r="W83" s="86"/>
      <c r="X83" s="86">
        <f>IFERROR(X39/W39-1,"")</f>
        <v>0.30852545450023627</v>
      </c>
      <c r="Y83" s="86"/>
      <c r="Z83" s="86">
        <f>IFERROR(Z39/Y39-1,"")</f>
        <v>0.97153725746655262</v>
      </c>
      <c r="AA83" s="86"/>
      <c r="AB83" s="86" t="str">
        <f>IFERROR(AB39/AA39-1,"")</f>
        <v/>
      </c>
      <c r="AC83" s="86"/>
      <c r="AD83" s="86">
        <f>IFERROR(AD39/AC39-1,"")</f>
        <v>-2.0521684139719332E-3</v>
      </c>
      <c r="AE83" s="86"/>
      <c r="AF83" s="86">
        <f>IFERROR(AF39/AE39-1,"")</f>
        <v>0.2532294674172566</v>
      </c>
      <c r="AG83" s="86"/>
      <c r="AH83" s="86">
        <f>IFERROR(AH39/AG39-1,"")</f>
        <v>0.59265743940428872</v>
      </c>
      <c r="AI83" s="86"/>
      <c r="AJ83" s="86">
        <f>IFERROR(AJ39/AI39-1,"")</f>
        <v>0.13666568293924786</v>
      </c>
      <c r="AK83" s="86"/>
      <c r="AL83" s="86">
        <f>IFERROR(AL39/AK39-1,"")</f>
        <v>0.15826300863248899</v>
      </c>
      <c r="AM83" s="86"/>
      <c r="AN83" s="86">
        <f>IFERROR(AN39/AM39-1,"")</f>
        <v>-0.35061713813264039</v>
      </c>
      <c r="AO83" s="86"/>
      <c r="AP83" s="86">
        <f>IFERROR(AP39/AO39-1,"")</f>
        <v>1.881000338443886</v>
      </c>
      <c r="AQ83" s="86"/>
      <c r="AR83" s="86">
        <f>IFERROR(AR39/AQ39-1,"")</f>
        <v>-5.545972583744041E-2</v>
      </c>
      <c r="AS83" s="86"/>
      <c r="AT83" s="86">
        <f>IFERROR(AT39/AS39-1,"")</f>
        <v>0.67601103669426865</v>
      </c>
      <c r="AU83" s="86"/>
      <c r="AV83" s="86">
        <f>IFERROR(AV39/AU39-1,"")</f>
        <v>0.32609580170727392</v>
      </c>
      <c r="AW83" s="86"/>
      <c r="AX83" s="86">
        <f>IFERROR(AX39/AW39-1,"")</f>
        <v>0.31854594204786801</v>
      </c>
      <c r="AY83" s="86"/>
      <c r="AZ83" s="86">
        <f>IFERROR(AZ39/AY39-1,"")</f>
        <v>-8.4583453957341237E-2</v>
      </c>
      <c r="BA83" s="86"/>
      <c r="BB83" s="86">
        <f>IFERROR(BB39/BA39-1,"")</f>
        <v>-0.15955582924758505</v>
      </c>
      <c r="BC83" s="86"/>
      <c r="BD83" s="86">
        <f>IFERROR(BD39/BC39-1,"")</f>
        <v>0.80538347931537446</v>
      </c>
      <c r="BE83" s="86"/>
      <c r="BF83" s="86">
        <f>IFERROR(BF39/BE39-1,"")</f>
        <v>-0.15708060951974068</v>
      </c>
      <c r="BG83" s="86"/>
      <c r="BH83" s="86">
        <f>IFERROR(BH39/BG39-1,"")</f>
        <v>8.9192616598562813E-2</v>
      </c>
      <c r="BI83" s="86"/>
      <c r="BJ83" s="86">
        <f>IFERROR(BJ39/BI39-1,"")</f>
        <v>0.13109806419964865</v>
      </c>
      <c r="BK83" s="86"/>
      <c r="BL83" s="86" t="str">
        <f>IFERROR(BL39/BK39-1,"")</f>
        <v/>
      </c>
      <c r="BM83" s="86"/>
      <c r="BN83" s="86">
        <f>IFERROR(BN39/BM39-1,"")</f>
        <v>0.40906414899638133</v>
      </c>
      <c r="BO83" s="86"/>
      <c r="BP83" s="86">
        <f>IFERROR(BP39/BO39-1,"")</f>
        <v>0.23986209546663195</v>
      </c>
      <c r="BQ83" s="86"/>
      <c r="BR83" s="86" t="str">
        <f>IFERROR(BR39/BQ39-1,"")</f>
        <v/>
      </c>
      <c r="BS83" s="86"/>
      <c r="BT83" s="86" t="str">
        <f>IFERROR(BT39/BS39-1,"")</f>
        <v/>
      </c>
      <c r="BU83" s="86"/>
      <c r="BV83" s="86">
        <f>IFERROR(BV39/BU39-1,"")</f>
        <v>2.7163665832284467E-2</v>
      </c>
      <c r="BW83" s="86"/>
      <c r="BX83" s="86">
        <f>IFERROR(BX39/BW39-1,"")</f>
        <v>7.083363398619591E-3</v>
      </c>
      <c r="BY83" s="86"/>
      <c r="BZ83" s="86">
        <f>IFERROR(BZ39/BY39-1,"")</f>
        <v>-0.22422892854250598</v>
      </c>
      <c r="CA83" s="86"/>
      <c r="CB83" s="86">
        <f>IFERROR(CB39/CA39-1,"")</f>
        <v>-0.53071337749243486</v>
      </c>
      <c r="CC83" s="86"/>
      <c r="CD83" s="86">
        <f>IFERROR(CD39/CC39-1,"")</f>
        <v>0.29669423380844684</v>
      </c>
      <c r="CE83" s="86"/>
      <c r="CF83" s="86">
        <f>IFERROR(CF39/CE39-1,"")</f>
        <v>4.0991926674584844E-2</v>
      </c>
      <c r="CG83" s="86"/>
      <c r="CH83" s="86">
        <f>IFERROR(CH39/CG39-1,"")</f>
        <v>-0.70028472950696841</v>
      </c>
      <c r="CI83" s="86"/>
      <c r="CJ83" s="86">
        <f>IFERROR(CJ39/CI39-1,"")</f>
        <v>8.9192616598562813E-2</v>
      </c>
      <c r="CK83" s="86"/>
      <c r="CL83" s="86">
        <f>IFERROR(CL39/CK39-1,"")</f>
        <v>0.8246965117258318</v>
      </c>
      <c r="CM83" s="86"/>
      <c r="CN83" s="86">
        <f>IFERROR(CN39/CM39-1,"")</f>
        <v>0.13638803581701175</v>
      </c>
      <c r="CO83" s="86"/>
      <c r="CP83" s="86"/>
      <c r="CQ83" s="86">
        <f>IFERROR(CQ39/CP39-1,"")</f>
        <v>-0.24258681434004636</v>
      </c>
      <c r="CR83" s="86"/>
      <c r="CS83" s="86">
        <f>IFERROR(CS39/CR39-1,"")</f>
        <v>10.243358196712927</v>
      </c>
      <c r="CT83" s="86"/>
      <c r="CU83" s="86">
        <f>IFERROR(CU39/CT39-1,"")</f>
        <v>-0.32459642812257594</v>
      </c>
      <c r="CV83" s="86"/>
      <c r="CW83" s="86">
        <f>IFERROR(CW39/CV39-1,"")</f>
        <v>0.35940601463992228</v>
      </c>
    </row>
    <row r="84" spans="1:101" x14ac:dyDescent="0.2">
      <c r="A84" s="96" t="s">
        <v>64</v>
      </c>
      <c r="B84" s="86"/>
      <c r="C84" s="86">
        <f>IFERROR(C40/B40-1,"")</f>
        <v>0.73745075273552341</v>
      </c>
      <c r="D84" s="86"/>
      <c r="E84" s="86">
        <f>IFERROR(E40/D40-1,"")</f>
        <v>-0.80264624822987218</v>
      </c>
      <c r="F84" s="86"/>
      <c r="G84" s="86">
        <f>IFERROR(G40/F40-1,"")</f>
        <v>13.539897562075625</v>
      </c>
      <c r="H84" s="86"/>
      <c r="I84" s="86">
        <f>IFERROR(I40/H40-1,"")</f>
        <v>-0.65949997196813759</v>
      </c>
      <c r="J84" s="86"/>
      <c r="K84" s="86">
        <f>IFERROR(K40/J40-1,"")</f>
        <v>2.5802710736821894</v>
      </c>
      <c r="L84" s="86"/>
      <c r="M84" s="86">
        <f>IFERROR(M40/L40-1,"")</f>
        <v>0.19508975513852889</v>
      </c>
      <c r="N84" s="86"/>
      <c r="O84" s="86">
        <f>IFERROR(O40/N40-1,"")</f>
        <v>-1.6746508719854063</v>
      </c>
      <c r="P84" s="86"/>
      <c r="Q84" s="86">
        <f>IFERROR(Q40/P40-1,"")</f>
        <v>-0.42978462327028055</v>
      </c>
      <c r="R84" s="86"/>
      <c r="S84" s="86">
        <f>IFERROR(S40/R40-1,"")</f>
        <v>-0.65949997196813759</v>
      </c>
      <c r="T84" s="86"/>
      <c r="U84" s="86">
        <f>IFERROR(U40/T40-1,"")</f>
        <v>-1.8202096710295352</v>
      </c>
      <c r="V84" s="86"/>
      <c r="W84" s="86"/>
      <c r="X84" s="86">
        <f>IFERROR(X40/W40-1,"")</f>
        <v>0.84653425859456011</v>
      </c>
      <c r="Y84" s="86"/>
      <c r="Z84" s="86">
        <f>IFERROR(Z40/Y40-1,"")</f>
        <v>-12.366241203374116</v>
      </c>
      <c r="AA84" s="86"/>
      <c r="AB84" s="86" t="str">
        <f>IFERROR(AB40/AA40-1,"")</f>
        <v/>
      </c>
      <c r="AC84" s="86"/>
      <c r="AD84" s="86">
        <f>IFERROR(AD40/AC40-1,"")</f>
        <v>-0.56094895728453997</v>
      </c>
      <c r="AE84" s="86"/>
      <c r="AF84" s="86">
        <f>IFERROR(AF40/AE40-1,"")</f>
        <v>-1.211263116368013</v>
      </c>
      <c r="AG84" s="86"/>
      <c r="AH84" s="86">
        <f>IFERROR(AH40/AG40-1,"")</f>
        <v>0.54282571315901862</v>
      </c>
      <c r="AI84" s="86"/>
      <c r="AJ84" s="86">
        <f>IFERROR(AJ40/AI40-1,"")</f>
        <v>0.10398844125314066</v>
      </c>
      <c r="AK84" s="86"/>
      <c r="AL84" s="86">
        <f>IFERROR(AL40/AK40-1,"")</f>
        <v>-0.42379643289458269</v>
      </c>
      <c r="AM84" s="86"/>
      <c r="AN84" s="86">
        <f>IFERROR(AN40/AM40-1,"")</f>
        <v>-0.74987811938206528</v>
      </c>
      <c r="AO84" s="86"/>
      <c r="AP84" s="86">
        <f>IFERROR(AP40/AO40-1,"")</f>
        <v>-2.8298285746561609</v>
      </c>
      <c r="AQ84" s="86"/>
      <c r="AR84" s="86">
        <f>IFERROR(AR40/AQ40-1,"")</f>
        <v>-7.5696871670078671</v>
      </c>
      <c r="AS84" s="86"/>
      <c r="AT84" s="86">
        <f>IFERROR(AT40/AS40-1,"")</f>
        <v>-15.677521113286137</v>
      </c>
      <c r="AU84" s="86"/>
      <c r="AV84" s="86">
        <f>IFERROR(AV40/AU40-1,"")</f>
        <v>2.7123456721371619E-2</v>
      </c>
      <c r="AW84" s="86"/>
      <c r="AX84" s="86">
        <f>IFERROR(AX40/AW40-1,"")</f>
        <v>-3.258960150901864</v>
      </c>
      <c r="AY84" s="86"/>
      <c r="AZ84" s="86">
        <f>IFERROR(AZ40/AY40-1,"")</f>
        <v>-2.7818376692974711E-2</v>
      </c>
      <c r="BA84" s="86"/>
      <c r="BB84" s="86">
        <f>IFERROR(BB40/BA40-1,"")</f>
        <v>-1.1570508916398425</v>
      </c>
      <c r="BC84" s="86"/>
      <c r="BD84" s="86">
        <f>IFERROR(BD40/BC40-1,"")</f>
        <v>-1.8664786834677298</v>
      </c>
      <c r="BE84" s="86"/>
      <c r="BF84" s="86">
        <f>IFERROR(BF40/BE40-1,"")</f>
        <v>-0.15708060951974068</v>
      </c>
      <c r="BG84" s="86"/>
      <c r="BH84" s="86">
        <f>IFERROR(BH40/BG40-1,"")</f>
        <v>0.61030798240100559</v>
      </c>
      <c r="BI84" s="86"/>
      <c r="BJ84" s="86">
        <f>IFERROR(BJ40/BI40-1,"")</f>
        <v>-1.2066730391796425</v>
      </c>
      <c r="BK84" s="86"/>
      <c r="BL84" s="86" t="str">
        <f>IFERROR(BL40/BK40-1,"")</f>
        <v/>
      </c>
      <c r="BM84" s="86"/>
      <c r="BN84" s="86">
        <f>IFERROR(BN40/BM40-1,"")</f>
        <v>-20.715356322812898</v>
      </c>
      <c r="BO84" s="86"/>
      <c r="BP84" s="86">
        <f>IFERROR(BP40/BO40-1,"")</f>
        <v>0.62594421980525006</v>
      </c>
      <c r="BQ84" s="86"/>
      <c r="BR84" s="86" t="str">
        <f>IFERROR(BR40/BQ40-1,"")</f>
        <v/>
      </c>
      <c r="BS84" s="86"/>
      <c r="BT84" s="86" t="str">
        <f>IFERROR(BT40/BS40-1,"")</f>
        <v/>
      </c>
      <c r="BU84" s="86"/>
      <c r="BV84" s="86">
        <f>IFERROR(BV40/BU40-1,"")</f>
        <v>-1.4239645741220879</v>
      </c>
      <c r="BW84" s="86"/>
      <c r="BX84" s="86">
        <f>IFERROR(BX40/BW40-1,"")</f>
        <v>0.40491615132289915</v>
      </c>
      <c r="BY84" s="86"/>
      <c r="BZ84" s="86">
        <f>IFERROR(BZ40/BY40-1,"")</f>
        <v>0.15333882783401376</v>
      </c>
      <c r="CA84" s="86"/>
      <c r="CB84" s="86">
        <f>IFERROR(CB40/CA40-1,"")</f>
        <v>-0.79432052262962749</v>
      </c>
      <c r="CC84" s="86"/>
      <c r="CD84" s="86">
        <f>IFERROR(CD40/CC40-1,"")</f>
        <v>0.27619948669595673</v>
      </c>
      <c r="CE84" s="86"/>
      <c r="CF84" s="86">
        <f>IFERROR(CF40/CE40-1,"")</f>
        <v>10.883749595134415</v>
      </c>
      <c r="CG84" s="86"/>
      <c r="CH84" s="86">
        <f>IFERROR(CH40/CG40-1,"")</f>
        <v>-0.87304433863088238</v>
      </c>
      <c r="CI84" s="86"/>
      <c r="CJ84" s="86">
        <f>IFERROR(CJ40/CI40-1,"")</f>
        <v>0.61030798240100559</v>
      </c>
      <c r="CK84" s="86"/>
      <c r="CL84" s="86">
        <f>IFERROR(CL40/CK40-1,"")</f>
        <v>0.71874827345591452</v>
      </c>
      <c r="CM84" s="86"/>
      <c r="CN84" s="86">
        <f>IFERROR(CN40/CM40-1,"")</f>
        <v>-2.5081511883001406</v>
      </c>
      <c r="CO84" s="86"/>
      <c r="CP84" s="86"/>
      <c r="CQ84" s="86">
        <f>IFERROR(CQ40/CP40-1,"")</f>
        <v>-1.5650817964086512</v>
      </c>
      <c r="CR84" s="86"/>
      <c r="CS84" s="86">
        <f>IFERROR(CS40/CR40-1,"")</f>
        <v>-6.7784707276925902</v>
      </c>
      <c r="CT84" s="86"/>
      <c r="CU84" s="86">
        <f>IFERROR(CU40/CT40-1,"")</f>
        <v>-0.73151219113083665</v>
      </c>
      <c r="CV84" s="86"/>
      <c r="CW84" s="86">
        <f>IFERROR(CW40/CV40-1,"")</f>
        <v>-8.7595747137277424</v>
      </c>
    </row>
    <row r="85" spans="1:101" x14ac:dyDescent="0.2">
      <c r="A85" s="216"/>
    </row>
    <row r="86" spans="1:101" x14ac:dyDescent="0.2">
      <c r="A86" s="216"/>
    </row>
    <row r="87" spans="1:101" x14ac:dyDescent="0.2">
      <c r="A87" s="216"/>
    </row>
    <row r="88" spans="1:101" x14ac:dyDescent="0.2">
      <c r="A88" s="216"/>
    </row>
    <row r="89" spans="1:101" x14ac:dyDescent="0.2">
      <c r="A89" s="216"/>
    </row>
    <row r="90" spans="1:101" x14ac:dyDescent="0.2">
      <c r="A90" s="216"/>
    </row>
    <row r="91" spans="1:101" x14ac:dyDescent="0.2">
      <c r="A91" s="216"/>
    </row>
    <row r="92" spans="1:101" x14ac:dyDescent="0.2">
      <c r="A92" s="216"/>
    </row>
    <row r="93" spans="1:101" x14ac:dyDescent="0.2">
      <c r="A93" s="216"/>
    </row>
    <row r="94" spans="1:101" x14ac:dyDescent="0.2">
      <c r="A94" s="216"/>
    </row>
    <row r="95" spans="1:101" x14ac:dyDescent="0.2">
      <c r="A95" s="216"/>
    </row>
    <row r="96" spans="1:101"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216"/>
    </row>
    <row r="127" spans="1:1" x14ac:dyDescent="0.2">
      <c r="A127" s="216"/>
    </row>
    <row r="128" spans="1:1" x14ac:dyDescent="0.2">
      <c r="A128" s="216"/>
    </row>
    <row r="129" spans="1:99" x14ac:dyDescent="0.2">
      <c r="A129" s="216"/>
    </row>
    <row r="130" spans="1:99" x14ac:dyDescent="0.2">
      <c r="A130" s="216"/>
    </row>
    <row r="131" spans="1:99" x14ac:dyDescent="0.2">
      <c r="A131" s="216"/>
    </row>
    <row r="132" spans="1:99" x14ac:dyDescent="0.2">
      <c r="A132" s="216"/>
    </row>
    <row r="133" spans="1:99" x14ac:dyDescent="0.2">
      <c r="A133" s="216"/>
    </row>
    <row r="134" spans="1:99" x14ac:dyDescent="0.2">
      <c r="A134" s="216"/>
    </row>
    <row r="135" spans="1:99" x14ac:dyDescent="0.2">
      <c r="A135" s="216"/>
    </row>
    <row r="136" spans="1:99" x14ac:dyDescent="0.2">
      <c r="A136" s="216"/>
    </row>
    <row r="137" spans="1:99" x14ac:dyDescent="0.2">
      <c r="A137" s="216"/>
    </row>
    <row r="138" spans="1:99" x14ac:dyDescent="0.2">
      <c r="A138" s="216"/>
      <c r="BQ138" s="245"/>
      <c r="BR138" s="245"/>
      <c r="BS138" s="245"/>
      <c r="BT138" s="245"/>
      <c r="BU138" s="245"/>
      <c r="BV138" s="245"/>
      <c r="BW138" s="245"/>
      <c r="BX138" s="245"/>
      <c r="BY138" s="245"/>
      <c r="BZ138" s="245"/>
      <c r="CA138" s="245"/>
      <c r="CB138" s="245"/>
      <c r="CC138" s="245"/>
      <c r="CD138" s="245"/>
      <c r="CE138" s="245"/>
      <c r="CF138" s="245"/>
      <c r="CG138" s="245"/>
      <c r="CH138" s="245"/>
      <c r="CI138" s="245"/>
      <c r="CJ138" s="245"/>
      <c r="CK138" s="245"/>
      <c r="CL138" s="245"/>
      <c r="CM138" s="245"/>
      <c r="CN138" s="245"/>
      <c r="CO138" s="245"/>
      <c r="CP138" s="245"/>
      <c r="CQ138" s="245"/>
      <c r="CR138" s="245"/>
      <c r="CS138" s="245"/>
      <c r="CT138" s="245"/>
      <c r="CU138" s="245"/>
    </row>
    <row r="139" spans="1:99" x14ac:dyDescent="0.2">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c r="BV139" s="245"/>
      <c r="BW139" s="245"/>
      <c r="BX139" s="245"/>
      <c r="BY139" s="245"/>
      <c r="BZ139" s="245"/>
      <c r="CA139" s="245"/>
      <c r="CB139" s="245"/>
      <c r="CC139" s="245"/>
      <c r="CD139" s="245"/>
      <c r="CE139" s="245"/>
      <c r="CF139" s="245"/>
      <c r="CG139" s="245"/>
      <c r="CH139" s="245"/>
      <c r="CI139" s="245"/>
      <c r="CJ139" s="245"/>
      <c r="CK139" s="245"/>
      <c r="CL139" s="245"/>
      <c r="CM139" s="245"/>
      <c r="CN139" s="245"/>
      <c r="CO139" s="245"/>
      <c r="CP139" s="245"/>
      <c r="CQ139" s="245"/>
      <c r="CR139" s="245"/>
      <c r="CS139" s="245"/>
      <c r="CT139" s="245"/>
      <c r="CU139" s="245"/>
    </row>
    <row r="140" spans="1:99" x14ac:dyDescent="0.2">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N140" s="245"/>
      <c r="BO140" s="245"/>
      <c r="BP140" s="245"/>
    </row>
    <row r="142" spans="1:99" x14ac:dyDescent="0.2">
      <c r="A142" s="244"/>
    </row>
    <row r="143" spans="1:99" x14ac:dyDescent="0.2">
      <c r="A143" s="216"/>
    </row>
    <row r="144" spans="1:99" x14ac:dyDescent="0.2">
      <c r="A144" s="216"/>
    </row>
    <row r="145" spans="1:99" x14ac:dyDescent="0.2">
      <c r="A145" s="216"/>
      <c r="BQ145" s="245"/>
      <c r="BR145" s="245"/>
      <c r="BS145" s="245"/>
      <c r="BT145" s="245"/>
      <c r="BU145" s="245"/>
      <c r="BV145" s="245"/>
      <c r="BW145" s="245"/>
      <c r="BX145" s="245"/>
      <c r="BY145" s="245"/>
      <c r="BZ145" s="245"/>
      <c r="CA145" s="245"/>
      <c r="CB145" s="245"/>
      <c r="CC145" s="245"/>
      <c r="CD145" s="245"/>
      <c r="CE145" s="245"/>
      <c r="CF145" s="245"/>
      <c r="CG145" s="245"/>
      <c r="CH145" s="245"/>
      <c r="CI145" s="245"/>
      <c r="CJ145" s="245"/>
      <c r="CK145" s="245"/>
      <c r="CL145" s="245"/>
      <c r="CM145" s="245"/>
      <c r="CN145" s="245"/>
      <c r="CO145" s="245"/>
      <c r="CP145" s="245"/>
      <c r="CQ145" s="245"/>
      <c r="CR145" s="245"/>
      <c r="CS145" s="245"/>
      <c r="CT145" s="245"/>
      <c r="CU145" s="245"/>
    </row>
    <row r="146" spans="1:99" x14ac:dyDescent="0.2">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N146" s="245"/>
      <c r="BO146" s="245"/>
      <c r="BP146" s="245"/>
    </row>
    <row r="148" spans="1:99" x14ac:dyDescent="0.2">
      <c r="BQ148" s="245"/>
      <c r="BR148" s="245"/>
      <c r="BS148" s="245"/>
      <c r="BT148" s="245"/>
      <c r="BU148" s="245"/>
      <c r="BV148" s="245"/>
      <c r="BW148" s="245"/>
      <c r="BX148" s="245"/>
      <c r="BY148" s="245"/>
      <c r="BZ148" s="245"/>
      <c r="CA148" s="245"/>
      <c r="CB148" s="245"/>
      <c r="CC148" s="245"/>
      <c r="CD148" s="245"/>
      <c r="CE148" s="245"/>
      <c r="CF148" s="245"/>
      <c r="CG148" s="245"/>
      <c r="CH148" s="245"/>
      <c r="CI148" s="245"/>
      <c r="CJ148" s="245"/>
      <c r="CK148" s="245"/>
      <c r="CL148" s="245"/>
      <c r="CM148" s="245"/>
      <c r="CN148" s="245"/>
      <c r="CO148" s="245"/>
      <c r="CP148" s="245"/>
      <c r="CQ148" s="245"/>
      <c r="CR148" s="245"/>
      <c r="CS148" s="245"/>
      <c r="CT148" s="245"/>
      <c r="CU148" s="245"/>
    </row>
    <row r="149" spans="1:99" x14ac:dyDescent="0.2">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N149" s="245"/>
      <c r="BO149" s="245"/>
      <c r="BP149" s="245"/>
    </row>
    <row r="151" spans="1:99" x14ac:dyDescent="0.2">
      <c r="BQ151" s="245"/>
      <c r="BR151" s="245"/>
      <c r="BS151" s="245"/>
      <c r="BT151" s="245"/>
      <c r="BU151" s="245"/>
      <c r="BV151" s="245"/>
      <c r="BW151" s="245"/>
      <c r="BX151" s="245"/>
      <c r="BY151" s="245"/>
      <c r="BZ151" s="245"/>
      <c r="CA151" s="245"/>
      <c r="CB151" s="245"/>
      <c r="CC151" s="245"/>
      <c r="CD151" s="245"/>
      <c r="CE151" s="245"/>
      <c r="CF151" s="245"/>
      <c r="CG151" s="245"/>
      <c r="CH151" s="245"/>
      <c r="CI151" s="245"/>
      <c r="CJ151" s="245"/>
      <c r="CK151" s="245"/>
      <c r="CL151" s="245"/>
      <c r="CM151" s="245"/>
      <c r="CN151" s="245"/>
      <c r="CO151" s="245"/>
      <c r="CP151" s="245"/>
      <c r="CQ151" s="245"/>
      <c r="CR151" s="245"/>
      <c r="CS151" s="245"/>
      <c r="CT151" s="245"/>
      <c r="CU151" s="245"/>
    </row>
    <row r="152" spans="1:99" x14ac:dyDescent="0.2">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N152" s="245"/>
      <c r="BO152" s="245"/>
      <c r="BP152" s="245"/>
    </row>
    <row r="153" spans="1:99" x14ac:dyDescent="0.2">
      <c r="BQ153" s="245"/>
      <c r="BR153" s="245"/>
      <c r="BS153" s="245"/>
      <c r="BT153" s="245"/>
      <c r="BU153" s="245"/>
      <c r="BV153" s="245"/>
      <c r="BW153" s="245"/>
      <c r="BX153" s="245"/>
      <c r="BY153" s="245"/>
      <c r="BZ153" s="245"/>
      <c r="CA153" s="245"/>
      <c r="CB153" s="245"/>
      <c r="CC153" s="245"/>
      <c r="CD153" s="245"/>
      <c r="CE153" s="245"/>
      <c r="CF153" s="245"/>
      <c r="CG153" s="245"/>
      <c r="CH153" s="245"/>
      <c r="CI153" s="245"/>
      <c r="CJ153" s="245"/>
      <c r="CK153" s="245"/>
      <c r="CL153" s="245"/>
      <c r="CM153" s="245"/>
      <c r="CN153" s="245"/>
      <c r="CO153" s="245"/>
      <c r="CP153" s="245"/>
      <c r="CQ153" s="245"/>
      <c r="CR153" s="245"/>
      <c r="CS153" s="245"/>
      <c r="CT153" s="245"/>
      <c r="CU153" s="245"/>
    </row>
    <row r="154" spans="1:99" x14ac:dyDescent="0.2">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c r="AE154" s="245"/>
      <c r="AF154" s="245"/>
      <c r="AG154" s="245"/>
      <c r="AH154" s="245"/>
      <c r="AI154" s="245"/>
      <c r="AJ154" s="245"/>
      <c r="AK154" s="245"/>
      <c r="AL154" s="245"/>
      <c r="AM154" s="245"/>
      <c r="AN154" s="245"/>
      <c r="AO154" s="245"/>
      <c r="AP154" s="245"/>
      <c r="AQ154" s="245"/>
      <c r="AR154" s="245"/>
      <c r="AS154" s="245"/>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N154" s="245"/>
      <c r="BO154" s="245"/>
      <c r="BP154" s="245"/>
    </row>
    <row r="158" spans="1:99" x14ac:dyDescent="0.2">
      <c r="BQ158" s="228"/>
      <c r="BR158" s="228"/>
      <c r="BS158" s="228"/>
      <c r="BT158" s="228"/>
      <c r="BU158" s="228"/>
      <c r="BV158" s="228"/>
      <c r="BW158" s="228"/>
      <c r="BX158" s="228"/>
      <c r="BY158" s="228"/>
      <c r="BZ158" s="228"/>
      <c r="CA158" s="228"/>
      <c r="CB158" s="228"/>
      <c r="CC158" s="228"/>
      <c r="CD158" s="228"/>
      <c r="CE158" s="228"/>
      <c r="CF158" s="228"/>
      <c r="CG158" s="228"/>
      <c r="CH158" s="228"/>
      <c r="CI158" s="228"/>
      <c r="CJ158" s="228"/>
      <c r="CK158" s="228"/>
      <c r="CL158" s="228"/>
      <c r="CM158" s="228"/>
      <c r="CN158" s="228"/>
      <c r="CO158" s="228"/>
      <c r="CP158" s="228"/>
      <c r="CQ158" s="228"/>
      <c r="CR158" s="228"/>
      <c r="CS158" s="228"/>
      <c r="CT158" s="228"/>
      <c r="CU158" s="228"/>
    </row>
    <row r="159" spans="1:99" x14ac:dyDescent="0.2">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c r="Y159" s="228"/>
      <c r="Z159" s="228"/>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8"/>
      <c r="BL159" s="228"/>
      <c r="BM159" s="228"/>
      <c r="BN159" s="228"/>
      <c r="BO159" s="228"/>
      <c r="BP159" s="228"/>
    </row>
    <row r="167" spans="1:101" x14ac:dyDescent="0.2">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row>
    <row r="168" spans="1:101" s="216" customFormat="1" x14ac:dyDescent="0.2">
      <c r="A168" s="214"/>
    </row>
    <row r="169" spans="1:101" s="216" customFormat="1" x14ac:dyDescent="0.2"/>
    <row r="170" spans="1:101" s="216" customFormat="1" x14ac:dyDescent="0.2">
      <c r="BQ170" s="214"/>
      <c r="BR170" s="214"/>
      <c r="BS170" s="214"/>
      <c r="BT170" s="214"/>
      <c r="BU170" s="214"/>
      <c r="BV170" s="214"/>
      <c r="BW170" s="214"/>
      <c r="BX170" s="214"/>
      <c r="BY170" s="214"/>
      <c r="BZ170" s="214"/>
      <c r="CA170" s="214"/>
      <c r="CB170" s="214"/>
      <c r="CC170" s="214"/>
      <c r="CD170" s="214"/>
      <c r="CE170" s="214"/>
      <c r="CF170" s="214"/>
      <c r="CG170" s="214"/>
      <c r="CH170" s="214"/>
      <c r="CI170" s="214"/>
      <c r="CJ170" s="214"/>
      <c r="CK170" s="214"/>
      <c r="CL170" s="214"/>
      <c r="CM170" s="214"/>
      <c r="CN170" s="214"/>
      <c r="CO170" s="214"/>
      <c r="CP170" s="214"/>
      <c r="CQ170" s="214"/>
      <c r="CR170" s="214"/>
      <c r="CS170" s="214"/>
      <c r="CT170" s="214"/>
      <c r="CU170" s="214"/>
      <c r="CV170" s="214"/>
      <c r="CW170" s="214"/>
    </row>
    <row r="174" spans="1:101" x14ac:dyDescent="0.2">
      <c r="BQ174" s="245"/>
      <c r="BR174" s="245"/>
      <c r="BS174" s="245"/>
      <c r="BT174" s="245"/>
      <c r="BU174" s="245"/>
      <c r="BV174" s="245"/>
      <c r="BW174" s="245"/>
      <c r="BX174" s="245"/>
      <c r="BY174" s="245"/>
      <c r="BZ174" s="245"/>
      <c r="CA174" s="245"/>
      <c r="CB174" s="245"/>
      <c r="CC174" s="245"/>
      <c r="CD174" s="245"/>
      <c r="CE174" s="245"/>
      <c r="CF174" s="245"/>
      <c r="CG174" s="245"/>
      <c r="CH174" s="245"/>
      <c r="CI174" s="245"/>
      <c r="CJ174" s="245"/>
      <c r="CK174" s="245"/>
      <c r="CL174" s="245"/>
      <c r="CM174" s="245"/>
      <c r="CN174" s="245"/>
      <c r="CO174" s="245"/>
      <c r="CP174" s="245"/>
      <c r="CQ174" s="245"/>
      <c r="CR174" s="245"/>
      <c r="CS174" s="245"/>
      <c r="CT174" s="245"/>
      <c r="CU174" s="245"/>
    </row>
    <row r="175" spans="1:101" x14ac:dyDescent="0.2">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c r="AS175" s="245"/>
      <c r="AT175" s="245"/>
      <c r="AU175" s="245"/>
      <c r="AV175" s="245"/>
      <c r="AW175" s="245"/>
      <c r="AX175" s="245"/>
      <c r="AY175" s="245"/>
      <c r="AZ175" s="245"/>
      <c r="BA175" s="245"/>
      <c r="BB175" s="245"/>
      <c r="BC175" s="245"/>
      <c r="BD175" s="245"/>
      <c r="BE175" s="245"/>
      <c r="BF175" s="245"/>
      <c r="BG175" s="245"/>
      <c r="BH175" s="245"/>
      <c r="BI175" s="245"/>
      <c r="BJ175" s="245"/>
      <c r="BK175" s="245"/>
      <c r="BL175" s="245"/>
      <c r="BM175" s="245"/>
      <c r="BN175" s="245"/>
      <c r="BO175" s="245"/>
      <c r="BP175" s="245"/>
    </row>
    <row r="179" spans="2:99" x14ac:dyDescent="0.2">
      <c r="BQ179" s="245"/>
      <c r="BR179" s="245"/>
      <c r="BS179" s="245"/>
      <c r="BT179" s="245"/>
      <c r="BU179" s="245"/>
      <c r="BV179" s="245"/>
      <c r="BW179" s="245"/>
      <c r="BX179" s="245"/>
      <c r="BY179" s="245"/>
      <c r="BZ179" s="245"/>
      <c r="CA179" s="245"/>
      <c r="CB179" s="245"/>
      <c r="CC179" s="245"/>
      <c r="CD179" s="245"/>
      <c r="CE179" s="245"/>
      <c r="CF179" s="245"/>
      <c r="CG179" s="245"/>
      <c r="CH179" s="245"/>
      <c r="CI179" s="245"/>
      <c r="CJ179" s="245"/>
      <c r="CK179" s="245"/>
      <c r="CL179" s="245"/>
      <c r="CM179" s="245"/>
      <c r="CN179" s="245"/>
      <c r="CO179" s="245"/>
      <c r="CP179" s="245"/>
      <c r="CQ179" s="245"/>
      <c r="CR179" s="245"/>
      <c r="CS179" s="245"/>
      <c r="CT179" s="245"/>
      <c r="CU179" s="245"/>
    </row>
    <row r="180" spans="2:99" x14ac:dyDescent="0.2">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45"/>
      <c r="AE180" s="245"/>
      <c r="AF180" s="245"/>
      <c r="AG180" s="245"/>
      <c r="AH180" s="245"/>
      <c r="AI180" s="245"/>
      <c r="AJ180" s="245"/>
      <c r="AK180" s="245"/>
      <c r="AL180" s="245"/>
      <c r="AM180" s="245"/>
      <c r="AN180" s="245"/>
      <c r="AO180" s="245"/>
      <c r="AP180" s="245"/>
      <c r="AQ180" s="245"/>
      <c r="AR180" s="245"/>
      <c r="AS180" s="245"/>
      <c r="AT180" s="245"/>
      <c r="AU180" s="245"/>
      <c r="AV180" s="245"/>
      <c r="AW180" s="245"/>
      <c r="AX180" s="245"/>
      <c r="AY180" s="245"/>
      <c r="AZ180" s="245"/>
      <c r="BA180" s="245"/>
      <c r="BB180" s="245"/>
      <c r="BC180" s="245"/>
      <c r="BD180" s="245"/>
      <c r="BE180" s="245"/>
      <c r="BF180" s="245"/>
      <c r="BG180" s="245"/>
      <c r="BH180" s="245"/>
      <c r="BI180" s="245"/>
      <c r="BJ180" s="245"/>
      <c r="BK180" s="245"/>
      <c r="BL180" s="245"/>
      <c r="BM180" s="245"/>
      <c r="BN180" s="245"/>
      <c r="BO180" s="245"/>
      <c r="BP180" s="245"/>
    </row>
    <row r="184" spans="2:99" x14ac:dyDescent="0.2">
      <c r="BQ184" s="245"/>
      <c r="BR184" s="245"/>
      <c r="BS184" s="245"/>
      <c r="BT184" s="245"/>
      <c r="BU184" s="245"/>
      <c r="BV184" s="245"/>
      <c r="BW184" s="245"/>
      <c r="BX184" s="245"/>
      <c r="BY184" s="245"/>
      <c r="BZ184" s="245"/>
      <c r="CA184" s="245"/>
      <c r="CB184" s="245"/>
      <c r="CC184" s="245"/>
      <c r="CD184" s="245"/>
      <c r="CE184" s="245"/>
      <c r="CF184" s="245"/>
      <c r="CG184" s="245"/>
      <c r="CH184" s="245"/>
      <c r="CI184" s="245"/>
      <c r="CJ184" s="245"/>
      <c r="CK184" s="245"/>
      <c r="CL184" s="245"/>
      <c r="CM184" s="245"/>
      <c r="CN184" s="245"/>
      <c r="CO184" s="245"/>
      <c r="CP184" s="245"/>
      <c r="CQ184" s="245"/>
      <c r="CR184" s="245"/>
      <c r="CS184" s="245"/>
      <c r="CT184" s="245"/>
      <c r="CU184" s="245"/>
    </row>
    <row r="185" spans="2:99" x14ac:dyDescent="0.2">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5"/>
      <c r="BZ185" s="245"/>
      <c r="CA185" s="245"/>
      <c r="CB185" s="245"/>
      <c r="CC185" s="245"/>
      <c r="CD185" s="245"/>
      <c r="CE185" s="245"/>
      <c r="CF185" s="245"/>
      <c r="CG185" s="245"/>
      <c r="CH185" s="245"/>
      <c r="CI185" s="245"/>
      <c r="CJ185" s="245"/>
      <c r="CK185" s="245"/>
      <c r="CL185" s="245"/>
      <c r="CM185" s="245"/>
      <c r="CN185" s="245"/>
      <c r="CO185" s="245"/>
      <c r="CP185" s="245"/>
      <c r="CQ185" s="245"/>
      <c r="CR185" s="245"/>
      <c r="CS185" s="245"/>
      <c r="CT185" s="245"/>
      <c r="CU185" s="245"/>
    </row>
    <row r="186" spans="2:99" x14ac:dyDescent="0.2">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row>
    <row r="189" spans="2:99" x14ac:dyDescent="0.2">
      <c r="BQ189" s="245"/>
      <c r="BR189" s="245"/>
      <c r="BS189" s="245"/>
      <c r="BT189" s="245"/>
      <c r="BU189" s="245"/>
      <c r="BV189" s="245"/>
      <c r="BW189" s="245"/>
      <c r="BX189" s="245"/>
      <c r="BY189" s="245"/>
      <c r="BZ189" s="245"/>
      <c r="CA189" s="245"/>
      <c r="CB189" s="245"/>
      <c r="CC189" s="245"/>
      <c r="CD189" s="245"/>
      <c r="CE189" s="245"/>
      <c r="CF189" s="245"/>
      <c r="CG189" s="245"/>
      <c r="CH189" s="245"/>
      <c r="CI189" s="245"/>
      <c r="CJ189" s="245"/>
      <c r="CK189" s="245"/>
      <c r="CL189" s="245"/>
      <c r="CM189" s="245"/>
      <c r="CN189" s="245"/>
      <c r="CO189" s="245"/>
      <c r="CP189" s="245"/>
      <c r="CQ189" s="245"/>
      <c r="CR189" s="245"/>
      <c r="CS189" s="245"/>
      <c r="CT189" s="245"/>
      <c r="CU189" s="245"/>
    </row>
    <row r="190" spans="2:99" x14ac:dyDescent="0.2">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row>
    <row r="195" spans="2:99" x14ac:dyDescent="0.2">
      <c r="BQ195" s="228"/>
      <c r="BR195" s="216"/>
      <c r="BS195" s="228"/>
      <c r="BT195" s="216"/>
      <c r="BU195" s="228"/>
      <c r="BV195" s="216"/>
      <c r="BW195" s="228"/>
      <c r="BX195" s="216"/>
      <c r="BY195" s="228"/>
      <c r="BZ195" s="216"/>
      <c r="CA195" s="228"/>
      <c r="CB195" s="216"/>
      <c r="CC195" s="216"/>
      <c r="CD195" s="216"/>
      <c r="CE195" s="216"/>
      <c r="CF195" s="216"/>
      <c r="CG195" s="216"/>
      <c r="CH195" s="216"/>
      <c r="CI195" s="216"/>
      <c r="CJ195" s="216"/>
      <c r="CK195" s="216"/>
      <c r="CL195" s="216"/>
      <c r="CM195" s="228"/>
      <c r="CN195" s="216"/>
      <c r="CO195" s="216"/>
      <c r="CP195" s="228"/>
      <c r="CQ195" s="216"/>
      <c r="CR195" s="228"/>
      <c r="CS195" s="216"/>
      <c r="CT195" s="228"/>
      <c r="CU195" s="216"/>
    </row>
    <row r="196" spans="2:99" x14ac:dyDescent="0.2">
      <c r="B196" s="228"/>
      <c r="C196" s="216"/>
      <c r="D196" s="228"/>
      <c r="E196" s="216"/>
      <c r="F196" s="228"/>
      <c r="G196" s="216"/>
      <c r="H196" s="228"/>
      <c r="I196" s="216"/>
      <c r="J196" s="228"/>
      <c r="K196" s="216"/>
      <c r="L196" s="228"/>
      <c r="M196" s="216"/>
      <c r="N196" s="228"/>
      <c r="O196" s="216"/>
      <c r="P196" s="228"/>
      <c r="Q196" s="216"/>
      <c r="R196" s="228"/>
      <c r="S196" s="216"/>
      <c r="T196" s="228"/>
      <c r="U196" s="216"/>
      <c r="V196" s="216"/>
      <c r="W196" s="228"/>
      <c r="X196" s="216"/>
      <c r="Y196" s="228"/>
      <c r="Z196" s="216"/>
      <c r="AA196" s="228"/>
      <c r="AB196" s="216"/>
      <c r="AC196" s="228"/>
      <c r="AD196" s="216"/>
      <c r="AE196" s="228"/>
      <c r="AF196" s="216"/>
      <c r="AG196" s="228"/>
      <c r="AH196" s="216"/>
      <c r="AI196" s="228"/>
      <c r="AJ196" s="216"/>
      <c r="AK196" s="228"/>
      <c r="AL196" s="216"/>
      <c r="AM196" s="228"/>
      <c r="AN196" s="216"/>
      <c r="AO196" s="228"/>
      <c r="AP196" s="216"/>
      <c r="AQ196" s="228"/>
      <c r="AR196" s="216"/>
      <c r="AS196" s="228"/>
      <c r="AT196" s="216"/>
      <c r="AU196" s="228"/>
      <c r="AV196" s="216"/>
      <c r="AW196" s="228"/>
      <c r="AX196" s="216"/>
      <c r="AY196" s="228"/>
      <c r="AZ196" s="216"/>
      <c r="BA196" s="228"/>
      <c r="BB196" s="216"/>
      <c r="BC196" s="228"/>
      <c r="BD196" s="216"/>
      <c r="BE196" s="228"/>
      <c r="BF196" s="216"/>
      <c r="BG196" s="228"/>
      <c r="BH196" s="216"/>
      <c r="BI196" s="228"/>
      <c r="BJ196" s="216"/>
      <c r="BK196" s="228"/>
      <c r="BL196" s="216"/>
      <c r="BM196" s="228"/>
      <c r="BN196" s="216"/>
      <c r="BO196" s="228"/>
      <c r="BP196" s="216"/>
      <c r="BQ196" s="228"/>
      <c r="BR196" s="216"/>
      <c r="BS196" s="228"/>
      <c r="BT196" s="216"/>
      <c r="BU196" s="228"/>
      <c r="BV196" s="216"/>
      <c r="BW196" s="228"/>
      <c r="BX196" s="216"/>
      <c r="BY196" s="228"/>
      <c r="BZ196" s="216"/>
      <c r="CA196" s="228"/>
      <c r="CB196" s="216"/>
      <c r="CC196" s="216"/>
      <c r="CD196" s="216"/>
      <c r="CE196" s="216"/>
      <c r="CF196" s="216"/>
      <c r="CG196" s="216"/>
      <c r="CH196" s="216"/>
      <c r="CI196" s="216"/>
      <c r="CJ196" s="216"/>
      <c r="CK196" s="216"/>
      <c r="CL196" s="216"/>
      <c r="CM196" s="228"/>
      <c r="CN196" s="216"/>
      <c r="CO196" s="216"/>
      <c r="CP196" s="228"/>
      <c r="CQ196" s="216"/>
      <c r="CR196" s="228"/>
      <c r="CS196" s="216"/>
      <c r="CT196" s="228"/>
      <c r="CU196" s="216"/>
    </row>
    <row r="197" spans="2:99" x14ac:dyDescent="0.2">
      <c r="B197" s="228"/>
      <c r="C197" s="216"/>
      <c r="D197" s="228"/>
      <c r="E197" s="216"/>
      <c r="F197" s="228"/>
      <c r="G197" s="216"/>
      <c r="H197" s="228"/>
      <c r="I197" s="216"/>
      <c r="J197" s="228"/>
      <c r="K197" s="216"/>
      <c r="L197" s="228"/>
      <c r="M197" s="216"/>
      <c r="N197" s="228"/>
      <c r="O197" s="216"/>
      <c r="P197" s="228"/>
      <c r="Q197" s="216"/>
      <c r="R197" s="228"/>
      <c r="S197" s="216"/>
      <c r="T197" s="228"/>
      <c r="U197" s="216"/>
      <c r="V197" s="216"/>
      <c r="W197" s="228"/>
      <c r="X197" s="216"/>
      <c r="Y197" s="228"/>
      <c r="Z197" s="216"/>
      <c r="AA197" s="228"/>
      <c r="AB197" s="216"/>
      <c r="AC197" s="228"/>
      <c r="AD197" s="216"/>
      <c r="AE197" s="228"/>
      <c r="AF197" s="216"/>
      <c r="AG197" s="228"/>
      <c r="AH197" s="216"/>
      <c r="AI197" s="228"/>
      <c r="AJ197" s="216"/>
      <c r="AK197" s="228"/>
      <c r="AL197" s="216"/>
      <c r="AM197" s="228"/>
      <c r="AN197" s="216"/>
      <c r="AO197" s="228"/>
      <c r="AP197" s="216"/>
      <c r="AQ197" s="228"/>
      <c r="AR197" s="216"/>
      <c r="AS197" s="228"/>
      <c r="AT197" s="216"/>
      <c r="AU197" s="228"/>
      <c r="AV197" s="216"/>
      <c r="AW197" s="228"/>
      <c r="AX197" s="216"/>
      <c r="AY197" s="228"/>
      <c r="AZ197" s="216"/>
      <c r="BA197" s="228"/>
      <c r="BB197" s="216"/>
      <c r="BC197" s="228"/>
      <c r="BD197" s="216"/>
      <c r="BE197" s="228"/>
      <c r="BF197" s="216"/>
      <c r="BG197" s="228"/>
      <c r="BH197" s="216"/>
      <c r="BI197" s="228"/>
      <c r="BJ197" s="216"/>
      <c r="BK197" s="228"/>
      <c r="BL197" s="216"/>
      <c r="BM197" s="228"/>
      <c r="BN197" s="216"/>
      <c r="BO197" s="228"/>
      <c r="BP197" s="216"/>
      <c r="BQ197" s="246"/>
      <c r="BR197" s="245"/>
      <c r="BS197" s="246"/>
      <c r="BT197" s="245"/>
      <c r="BU197" s="246"/>
      <c r="BV197" s="245"/>
      <c r="BW197" s="246"/>
      <c r="BX197" s="245"/>
      <c r="BY197" s="246"/>
      <c r="BZ197" s="245"/>
      <c r="CA197" s="246"/>
      <c r="CB197" s="245"/>
      <c r="CC197" s="245"/>
      <c r="CD197" s="245"/>
      <c r="CE197" s="245"/>
      <c r="CF197" s="245"/>
      <c r="CG197" s="245"/>
      <c r="CH197" s="245"/>
      <c r="CI197" s="245"/>
      <c r="CJ197" s="245"/>
      <c r="CK197" s="245"/>
      <c r="CL197" s="245"/>
      <c r="CM197" s="246"/>
      <c r="CN197" s="245"/>
      <c r="CO197" s="245"/>
      <c r="CP197" s="246"/>
      <c r="CQ197" s="245"/>
      <c r="CR197" s="246"/>
      <c r="CS197" s="245"/>
      <c r="CT197" s="246"/>
      <c r="CU197" s="245"/>
    </row>
    <row r="198" spans="2:99" x14ac:dyDescent="0.2">
      <c r="B198" s="246"/>
      <c r="C198" s="245"/>
      <c r="D198" s="246"/>
      <c r="E198" s="245"/>
      <c r="F198" s="246"/>
      <c r="G198" s="245"/>
      <c r="H198" s="246"/>
      <c r="I198" s="245"/>
      <c r="J198" s="246"/>
      <c r="K198" s="245"/>
      <c r="L198" s="246"/>
      <c r="M198" s="245"/>
      <c r="N198" s="246"/>
      <c r="O198" s="245"/>
      <c r="P198" s="246"/>
      <c r="Q198" s="245"/>
      <c r="R198" s="246"/>
      <c r="S198" s="245"/>
      <c r="T198" s="246"/>
      <c r="U198" s="245"/>
      <c r="V198" s="245"/>
      <c r="W198" s="246"/>
      <c r="X198" s="245"/>
      <c r="Y198" s="246"/>
      <c r="Z198" s="245"/>
      <c r="AA198" s="246"/>
      <c r="AB198" s="245"/>
      <c r="AC198" s="246"/>
      <c r="AD198" s="245"/>
      <c r="AE198" s="246"/>
      <c r="AF198" s="245"/>
      <c r="AG198" s="246"/>
      <c r="AH198" s="245"/>
      <c r="AI198" s="246"/>
      <c r="AJ198" s="245"/>
      <c r="AK198" s="246"/>
      <c r="AL198" s="245"/>
      <c r="AM198" s="246"/>
      <c r="AN198" s="245"/>
      <c r="AO198" s="246"/>
      <c r="AP198" s="245"/>
      <c r="AQ198" s="246"/>
      <c r="AR198" s="245"/>
      <c r="AS198" s="246"/>
      <c r="AT198" s="245"/>
      <c r="AU198" s="246"/>
      <c r="AV198" s="245"/>
      <c r="AW198" s="246"/>
      <c r="AX198" s="245"/>
      <c r="AY198" s="246"/>
      <c r="AZ198" s="245"/>
      <c r="BA198" s="246"/>
      <c r="BB198" s="245"/>
      <c r="BC198" s="246"/>
      <c r="BD198" s="245"/>
      <c r="BE198" s="246"/>
      <c r="BF198" s="245"/>
      <c r="BG198" s="246"/>
      <c r="BH198" s="245"/>
      <c r="BI198" s="246"/>
      <c r="BJ198" s="245"/>
      <c r="BK198" s="246"/>
      <c r="BL198" s="245"/>
      <c r="BM198" s="246"/>
      <c r="BN198" s="245"/>
      <c r="BO198" s="246"/>
      <c r="BP198" s="245"/>
      <c r="BQ198" s="246"/>
      <c r="BR198" s="245"/>
      <c r="BS198" s="246"/>
      <c r="BT198" s="245"/>
      <c r="BU198" s="246"/>
      <c r="BV198" s="245"/>
      <c r="BW198" s="246"/>
      <c r="BX198" s="245"/>
      <c r="BY198" s="246"/>
      <c r="BZ198" s="245"/>
      <c r="CA198" s="246"/>
      <c r="CB198" s="245"/>
      <c r="CC198" s="245"/>
      <c r="CD198" s="245"/>
      <c r="CE198" s="245"/>
      <c r="CF198" s="245"/>
      <c r="CG198" s="245"/>
      <c r="CH198" s="245"/>
      <c r="CI198" s="245"/>
      <c r="CJ198" s="245"/>
      <c r="CK198" s="245"/>
      <c r="CL198" s="245"/>
      <c r="CM198" s="246"/>
      <c r="CN198" s="245"/>
      <c r="CO198" s="245"/>
      <c r="CP198" s="246"/>
      <c r="CQ198" s="245"/>
      <c r="CR198" s="246"/>
      <c r="CS198" s="245"/>
      <c r="CT198" s="246"/>
      <c r="CU198" s="245"/>
    </row>
    <row r="199" spans="2:99" x14ac:dyDescent="0.2">
      <c r="B199" s="246"/>
      <c r="C199" s="245"/>
      <c r="D199" s="246"/>
      <c r="E199" s="245"/>
      <c r="F199" s="246"/>
      <c r="G199" s="245"/>
      <c r="H199" s="246"/>
      <c r="I199" s="245"/>
      <c r="J199" s="246"/>
      <c r="K199" s="245"/>
      <c r="L199" s="246"/>
      <c r="M199" s="245"/>
      <c r="N199" s="246"/>
      <c r="O199" s="245"/>
      <c r="P199" s="246"/>
      <c r="Q199" s="245"/>
      <c r="R199" s="246"/>
      <c r="S199" s="245"/>
      <c r="T199" s="246"/>
      <c r="U199" s="245"/>
      <c r="V199" s="245"/>
      <c r="W199" s="246"/>
      <c r="X199" s="245"/>
      <c r="Y199" s="246"/>
      <c r="Z199" s="245"/>
      <c r="AA199" s="246"/>
      <c r="AB199" s="245"/>
      <c r="AC199" s="246"/>
      <c r="AD199" s="245"/>
      <c r="AE199" s="246"/>
      <c r="AF199" s="245"/>
      <c r="AG199" s="246"/>
      <c r="AH199" s="245"/>
      <c r="AI199" s="246"/>
      <c r="AJ199" s="245"/>
      <c r="AK199" s="246"/>
      <c r="AL199" s="245"/>
      <c r="AM199" s="246"/>
      <c r="AN199" s="245"/>
      <c r="AO199" s="246"/>
      <c r="AP199" s="245"/>
      <c r="AQ199" s="246"/>
      <c r="AR199" s="245"/>
      <c r="AS199" s="246"/>
      <c r="AT199" s="245"/>
      <c r="AU199" s="246"/>
      <c r="AV199" s="245"/>
      <c r="AW199" s="246"/>
      <c r="AX199" s="245"/>
      <c r="AY199" s="246"/>
      <c r="AZ199" s="245"/>
      <c r="BA199" s="246"/>
      <c r="BB199" s="245"/>
      <c r="BC199" s="246"/>
      <c r="BD199" s="245"/>
      <c r="BE199" s="246"/>
      <c r="BF199" s="245"/>
      <c r="BG199" s="246"/>
      <c r="BH199" s="245"/>
      <c r="BI199" s="246"/>
      <c r="BJ199" s="245"/>
      <c r="BK199" s="246"/>
      <c r="BL199" s="245"/>
      <c r="BM199" s="246"/>
      <c r="BN199" s="245"/>
      <c r="BO199" s="246"/>
      <c r="BP199" s="245"/>
      <c r="BQ199" s="246"/>
      <c r="BR199" s="245"/>
      <c r="BS199" s="246"/>
      <c r="BT199" s="245"/>
      <c r="BU199" s="246"/>
      <c r="BV199" s="245"/>
      <c r="BW199" s="246"/>
      <c r="BX199" s="245"/>
      <c r="BY199" s="246"/>
      <c r="BZ199" s="245"/>
      <c r="CA199" s="246"/>
      <c r="CB199" s="245"/>
      <c r="CC199" s="245"/>
      <c r="CD199" s="245"/>
      <c r="CE199" s="245"/>
      <c r="CF199" s="245"/>
      <c r="CG199" s="245"/>
      <c r="CH199" s="245"/>
      <c r="CI199" s="245"/>
      <c r="CJ199" s="245"/>
      <c r="CK199" s="245"/>
      <c r="CL199" s="245"/>
      <c r="CM199" s="246"/>
      <c r="CN199" s="245"/>
      <c r="CO199" s="245"/>
      <c r="CP199" s="246"/>
      <c r="CQ199" s="245"/>
      <c r="CR199" s="246"/>
      <c r="CS199" s="245"/>
      <c r="CT199" s="246"/>
      <c r="CU199" s="245"/>
    </row>
    <row r="200" spans="2:99" x14ac:dyDescent="0.2">
      <c r="B200" s="246"/>
      <c r="C200" s="245"/>
      <c r="D200" s="246"/>
      <c r="E200" s="245"/>
      <c r="F200" s="246"/>
      <c r="G200" s="245"/>
      <c r="H200" s="246"/>
      <c r="I200" s="245"/>
      <c r="J200" s="246"/>
      <c r="K200" s="245"/>
      <c r="L200" s="246"/>
      <c r="M200" s="245"/>
      <c r="N200" s="246"/>
      <c r="O200" s="245"/>
      <c r="P200" s="246"/>
      <c r="Q200" s="245"/>
      <c r="R200" s="246"/>
      <c r="S200" s="245"/>
      <c r="T200" s="246"/>
      <c r="U200" s="245"/>
      <c r="V200" s="245"/>
      <c r="W200" s="246"/>
      <c r="X200" s="245"/>
      <c r="Y200" s="246"/>
      <c r="Z200" s="245"/>
      <c r="AA200" s="246"/>
      <c r="AB200" s="245"/>
      <c r="AC200" s="246"/>
      <c r="AD200" s="245"/>
      <c r="AE200" s="246"/>
      <c r="AF200" s="245"/>
      <c r="AG200" s="246"/>
      <c r="AH200" s="245"/>
      <c r="AI200" s="246"/>
      <c r="AJ200" s="245"/>
      <c r="AK200" s="246"/>
      <c r="AL200" s="245"/>
      <c r="AM200" s="246"/>
      <c r="AN200" s="245"/>
      <c r="AO200" s="246"/>
      <c r="AP200" s="245"/>
      <c r="AQ200" s="246"/>
      <c r="AR200" s="245"/>
      <c r="AS200" s="246"/>
      <c r="AT200" s="245"/>
      <c r="AU200" s="246"/>
      <c r="AV200" s="245"/>
      <c r="AW200" s="246"/>
      <c r="AX200" s="245"/>
      <c r="AY200" s="246"/>
      <c r="AZ200" s="245"/>
      <c r="BA200" s="246"/>
      <c r="BB200" s="245"/>
      <c r="BC200" s="246"/>
      <c r="BD200" s="245"/>
      <c r="BE200" s="246"/>
      <c r="BF200" s="245"/>
      <c r="BG200" s="246"/>
      <c r="BH200" s="245"/>
      <c r="BI200" s="246"/>
      <c r="BJ200" s="245"/>
      <c r="BK200" s="246"/>
      <c r="BL200" s="245"/>
      <c r="BM200" s="246"/>
      <c r="BN200" s="245"/>
      <c r="BO200" s="246"/>
      <c r="BP200" s="245"/>
      <c r="BQ200" s="246"/>
      <c r="BR200" s="245"/>
      <c r="BS200" s="246"/>
      <c r="BT200" s="245"/>
      <c r="BU200" s="246"/>
      <c r="BV200" s="245"/>
      <c r="BW200" s="246"/>
      <c r="BX200" s="245"/>
      <c r="BY200" s="246"/>
      <c r="BZ200" s="245"/>
      <c r="CA200" s="246"/>
      <c r="CB200" s="245"/>
      <c r="CC200" s="245"/>
      <c r="CD200" s="245"/>
      <c r="CE200" s="245"/>
      <c r="CF200" s="245"/>
      <c r="CG200" s="245"/>
      <c r="CH200" s="245"/>
      <c r="CI200" s="245"/>
      <c r="CJ200" s="245"/>
      <c r="CK200" s="245"/>
      <c r="CL200" s="245"/>
      <c r="CM200" s="246"/>
      <c r="CN200" s="245"/>
      <c r="CO200" s="245"/>
      <c r="CP200" s="246"/>
      <c r="CQ200" s="245"/>
      <c r="CR200" s="246"/>
      <c r="CS200" s="245"/>
      <c r="CT200" s="246"/>
      <c r="CU200" s="245"/>
    </row>
    <row r="201" spans="2:99" x14ac:dyDescent="0.2">
      <c r="B201" s="246"/>
      <c r="C201" s="245"/>
      <c r="D201" s="246"/>
      <c r="E201" s="245"/>
      <c r="F201" s="246"/>
      <c r="G201" s="245"/>
      <c r="H201" s="246"/>
      <c r="I201" s="245"/>
      <c r="J201" s="246"/>
      <c r="K201" s="245"/>
      <c r="L201" s="246"/>
      <c r="M201" s="245"/>
      <c r="N201" s="246"/>
      <c r="O201" s="245"/>
      <c r="P201" s="246"/>
      <c r="Q201" s="245"/>
      <c r="R201" s="246"/>
      <c r="S201" s="245"/>
      <c r="T201" s="246"/>
      <c r="U201" s="245"/>
      <c r="V201" s="245"/>
      <c r="W201" s="246"/>
      <c r="X201" s="245"/>
      <c r="Y201" s="246"/>
      <c r="Z201" s="245"/>
      <c r="AA201" s="246"/>
      <c r="AB201" s="245"/>
      <c r="AC201" s="246"/>
      <c r="AD201" s="245"/>
      <c r="AE201" s="246"/>
      <c r="AF201" s="245"/>
      <c r="AG201" s="246"/>
      <c r="AH201" s="245"/>
      <c r="AI201" s="246"/>
      <c r="AJ201" s="245"/>
      <c r="AK201" s="246"/>
      <c r="AL201" s="245"/>
      <c r="AM201" s="246"/>
      <c r="AN201" s="245"/>
      <c r="AO201" s="246"/>
      <c r="AP201" s="245"/>
      <c r="AQ201" s="246"/>
      <c r="AR201" s="245"/>
      <c r="AS201" s="246"/>
      <c r="AT201" s="245"/>
      <c r="AU201" s="246"/>
      <c r="AV201" s="245"/>
      <c r="AW201" s="246"/>
      <c r="AX201" s="245"/>
      <c r="AY201" s="246"/>
      <c r="AZ201" s="245"/>
      <c r="BA201" s="246"/>
      <c r="BB201" s="245"/>
      <c r="BC201" s="246"/>
      <c r="BD201" s="245"/>
      <c r="BE201" s="246"/>
      <c r="BF201" s="245"/>
      <c r="BG201" s="246"/>
      <c r="BH201" s="245"/>
      <c r="BI201" s="246"/>
      <c r="BJ201" s="245"/>
      <c r="BK201" s="246"/>
      <c r="BL201" s="245"/>
      <c r="BM201" s="246"/>
      <c r="BN201" s="245"/>
      <c r="BO201" s="246"/>
      <c r="BP201" s="245"/>
      <c r="BQ201" s="245"/>
      <c r="BR201" s="245"/>
      <c r="BS201" s="245"/>
      <c r="BT201" s="245"/>
      <c r="BU201" s="245"/>
      <c r="BV201" s="245"/>
      <c r="BW201" s="245"/>
      <c r="BX201" s="245"/>
      <c r="BY201" s="245"/>
      <c r="BZ201" s="245"/>
      <c r="CA201" s="245"/>
      <c r="CB201" s="245"/>
      <c r="CC201" s="245"/>
      <c r="CD201" s="245"/>
      <c r="CE201" s="245"/>
      <c r="CF201" s="245"/>
      <c r="CG201" s="245"/>
      <c r="CH201" s="245"/>
      <c r="CI201" s="245"/>
      <c r="CJ201" s="245"/>
      <c r="CK201" s="245"/>
      <c r="CL201" s="245"/>
      <c r="CM201" s="245"/>
      <c r="CN201" s="245"/>
      <c r="CO201" s="245"/>
      <c r="CP201" s="245"/>
      <c r="CQ201" s="245"/>
      <c r="CR201" s="245"/>
      <c r="CS201" s="245"/>
      <c r="CT201" s="245"/>
      <c r="CU201" s="245"/>
    </row>
    <row r="202" spans="2:99" x14ac:dyDescent="0.2">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c r="BV202" s="245"/>
      <c r="BW202" s="245"/>
      <c r="BX202" s="245"/>
      <c r="BY202" s="245"/>
      <c r="BZ202" s="245"/>
      <c r="CA202" s="245"/>
      <c r="CB202" s="245"/>
      <c r="CC202" s="245"/>
      <c r="CD202" s="245"/>
      <c r="CE202" s="245"/>
      <c r="CF202" s="245"/>
      <c r="CG202" s="245"/>
      <c r="CH202" s="245"/>
      <c r="CI202" s="245"/>
      <c r="CJ202" s="245"/>
      <c r="CK202" s="245"/>
      <c r="CL202" s="245"/>
      <c r="CM202" s="245"/>
      <c r="CN202" s="245"/>
      <c r="CO202" s="245"/>
      <c r="CP202" s="245"/>
      <c r="CQ202" s="245"/>
      <c r="CR202" s="245"/>
      <c r="CS202" s="245"/>
      <c r="CT202" s="245"/>
      <c r="CU202" s="245"/>
    </row>
    <row r="203" spans="2:99" x14ac:dyDescent="0.2">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c r="BV203" s="245"/>
      <c r="BW203" s="245"/>
      <c r="BX203" s="245"/>
      <c r="BY203" s="245"/>
      <c r="BZ203" s="245"/>
      <c r="CA203" s="245"/>
      <c r="CB203" s="245"/>
      <c r="CC203" s="245"/>
      <c r="CD203" s="245"/>
      <c r="CE203" s="245"/>
      <c r="CF203" s="245"/>
      <c r="CG203" s="245"/>
      <c r="CH203" s="245"/>
      <c r="CI203" s="245"/>
      <c r="CJ203" s="245"/>
      <c r="CK203" s="245"/>
      <c r="CL203" s="245"/>
      <c r="CM203" s="245"/>
      <c r="CN203" s="245"/>
      <c r="CO203" s="245"/>
      <c r="CP203" s="245"/>
      <c r="CQ203" s="245"/>
      <c r="CR203" s="245"/>
      <c r="CS203" s="245"/>
      <c r="CT203" s="245"/>
      <c r="CU203" s="245"/>
    </row>
    <row r="204" spans="2:99" x14ac:dyDescent="0.2">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c r="BJ204" s="245"/>
      <c r="BK204" s="245"/>
      <c r="BL204" s="245"/>
      <c r="BM204" s="245"/>
      <c r="BN204" s="245"/>
      <c r="BO204" s="245"/>
      <c r="BP204" s="245"/>
      <c r="BQ204" s="245"/>
      <c r="BR204" s="245"/>
      <c r="BS204" s="245"/>
      <c r="BT204" s="245"/>
      <c r="BU204" s="245"/>
      <c r="BV204" s="245"/>
      <c r="BW204" s="245"/>
      <c r="BX204" s="245"/>
      <c r="BY204" s="245"/>
      <c r="BZ204" s="245"/>
      <c r="CA204" s="245"/>
      <c r="CB204" s="245"/>
      <c r="CC204" s="245"/>
      <c r="CD204" s="245"/>
      <c r="CE204" s="245"/>
      <c r="CF204" s="245"/>
      <c r="CG204" s="245"/>
      <c r="CH204" s="245"/>
      <c r="CI204" s="245"/>
      <c r="CJ204" s="245"/>
      <c r="CK204" s="245"/>
      <c r="CL204" s="245"/>
      <c r="CM204" s="245"/>
      <c r="CN204" s="245"/>
      <c r="CO204" s="245"/>
      <c r="CP204" s="245"/>
      <c r="CQ204" s="245"/>
      <c r="CR204" s="245"/>
      <c r="CS204" s="245"/>
      <c r="CT204" s="245"/>
      <c r="CU204" s="245"/>
    </row>
    <row r="205" spans="2:99" x14ac:dyDescent="0.2">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45"/>
      <c r="AW205" s="245"/>
      <c r="AX205" s="245"/>
      <c r="AY205" s="245"/>
      <c r="AZ205" s="245"/>
      <c r="BA205" s="245"/>
      <c r="BB205" s="245"/>
      <c r="BC205" s="245"/>
      <c r="BD205" s="245"/>
      <c r="BE205" s="245"/>
      <c r="BF205" s="245"/>
      <c r="BG205" s="245"/>
      <c r="BH205" s="245"/>
      <c r="BI205" s="245"/>
      <c r="BJ205" s="245"/>
      <c r="BK205" s="245"/>
      <c r="BL205" s="245"/>
      <c r="BM205" s="245"/>
      <c r="BN205" s="245"/>
      <c r="BO205" s="245"/>
      <c r="BP205" s="245"/>
      <c r="BQ205" s="245"/>
      <c r="BR205" s="245"/>
      <c r="BS205" s="245"/>
      <c r="BT205" s="245"/>
      <c r="BU205" s="245"/>
      <c r="BV205" s="245"/>
      <c r="BW205" s="245"/>
      <c r="BX205" s="245"/>
      <c r="BY205" s="245"/>
      <c r="BZ205" s="245"/>
      <c r="CA205" s="245"/>
      <c r="CB205" s="245"/>
      <c r="CC205" s="245"/>
      <c r="CD205" s="245"/>
      <c r="CE205" s="245"/>
      <c r="CF205" s="245"/>
      <c r="CG205" s="245"/>
      <c r="CH205" s="245"/>
      <c r="CI205" s="245"/>
      <c r="CJ205" s="245"/>
      <c r="CK205" s="245"/>
      <c r="CL205" s="245"/>
      <c r="CM205" s="245"/>
      <c r="CN205" s="245"/>
      <c r="CO205" s="245"/>
      <c r="CP205" s="245"/>
      <c r="CQ205" s="245"/>
      <c r="CR205" s="245"/>
      <c r="CS205" s="245"/>
      <c r="CT205" s="245"/>
      <c r="CU205" s="245"/>
    </row>
    <row r="206" spans="2:99" x14ac:dyDescent="0.2">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45"/>
      <c r="AW206" s="245"/>
      <c r="AX206" s="245"/>
      <c r="AY206" s="245"/>
      <c r="AZ206" s="245"/>
      <c r="BA206" s="245"/>
      <c r="BB206" s="245"/>
      <c r="BC206" s="245"/>
      <c r="BD206" s="245"/>
      <c r="BE206" s="245"/>
      <c r="BF206" s="245"/>
      <c r="BG206" s="245"/>
      <c r="BH206" s="245"/>
      <c r="BI206" s="245"/>
      <c r="BJ206" s="245"/>
      <c r="BK206" s="245"/>
      <c r="BL206" s="245"/>
      <c r="BM206" s="245"/>
      <c r="BN206" s="245"/>
      <c r="BO206" s="245"/>
      <c r="BP206" s="245"/>
      <c r="BQ206" s="245"/>
      <c r="BR206" s="245"/>
      <c r="BS206" s="245"/>
      <c r="BT206" s="245"/>
      <c r="BU206" s="245"/>
      <c r="BV206" s="245"/>
      <c r="BW206" s="245"/>
      <c r="BX206" s="245"/>
      <c r="BY206" s="245"/>
      <c r="BZ206" s="245"/>
      <c r="CA206" s="245"/>
      <c r="CB206" s="245"/>
      <c r="CC206" s="245"/>
      <c r="CD206" s="245"/>
      <c r="CE206" s="245"/>
      <c r="CF206" s="245"/>
      <c r="CG206" s="245"/>
      <c r="CH206" s="245"/>
      <c r="CI206" s="245"/>
      <c r="CJ206" s="245"/>
      <c r="CK206" s="245"/>
      <c r="CL206" s="245"/>
      <c r="CM206" s="245"/>
      <c r="CN206" s="245"/>
      <c r="CO206" s="245"/>
      <c r="CP206" s="245"/>
      <c r="CQ206" s="245"/>
      <c r="CR206" s="245"/>
      <c r="CS206" s="245"/>
      <c r="CT206" s="245"/>
      <c r="CU206" s="245"/>
    </row>
    <row r="207" spans="2:99" x14ac:dyDescent="0.2">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45"/>
      <c r="BU207" s="245"/>
      <c r="BV207" s="245"/>
      <c r="BW207" s="245"/>
      <c r="BX207" s="245"/>
      <c r="BY207" s="245"/>
      <c r="BZ207" s="245"/>
      <c r="CA207" s="245"/>
      <c r="CB207" s="245"/>
      <c r="CC207" s="245"/>
      <c r="CD207" s="245"/>
      <c r="CE207" s="245"/>
      <c r="CF207" s="245"/>
      <c r="CG207" s="245"/>
      <c r="CH207" s="245"/>
      <c r="CI207" s="245"/>
      <c r="CJ207" s="245"/>
      <c r="CK207" s="245"/>
      <c r="CL207" s="245"/>
      <c r="CM207" s="245"/>
      <c r="CN207" s="245"/>
      <c r="CO207" s="245"/>
      <c r="CP207" s="245"/>
      <c r="CQ207" s="245"/>
      <c r="CR207" s="245"/>
      <c r="CS207" s="245"/>
      <c r="CT207" s="245"/>
      <c r="CU207" s="245"/>
    </row>
    <row r="208" spans="2:99" x14ac:dyDescent="0.2">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c r="AV208" s="245"/>
      <c r="AW208" s="245"/>
      <c r="AX208" s="245"/>
      <c r="AY208" s="245"/>
      <c r="AZ208" s="245"/>
      <c r="BA208" s="245"/>
      <c r="BB208" s="245"/>
      <c r="BC208" s="245"/>
      <c r="BD208" s="245"/>
      <c r="BE208" s="245"/>
      <c r="BF208" s="245"/>
      <c r="BG208" s="245"/>
      <c r="BH208" s="245"/>
      <c r="BI208" s="245"/>
      <c r="BJ208" s="245"/>
      <c r="BK208" s="245"/>
      <c r="BL208" s="245"/>
      <c r="BM208" s="245"/>
      <c r="BN208" s="245"/>
      <c r="BO208" s="245"/>
      <c r="BP208" s="245"/>
      <c r="BQ208" s="245"/>
      <c r="BR208" s="245"/>
      <c r="BS208" s="245"/>
      <c r="BT208" s="245"/>
      <c r="BU208" s="245"/>
      <c r="BV208" s="245"/>
      <c r="BW208" s="245"/>
      <c r="BX208" s="245"/>
      <c r="BY208" s="245"/>
      <c r="BZ208" s="245"/>
      <c r="CA208" s="245"/>
      <c r="CB208" s="245"/>
      <c r="CC208" s="245"/>
      <c r="CD208" s="245"/>
      <c r="CE208" s="245"/>
      <c r="CF208" s="245"/>
      <c r="CG208" s="245"/>
      <c r="CH208" s="245"/>
      <c r="CI208" s="245"/>
      <c r="CJ208" s="245"/>
      <c r="CK208" s="245"/>
      <c r="CL208" s="245"/>
      <c r="CM208" s="245"/>
      <c r="CN208" s="245"/>
      <c r="CO208" s="245"/>
      <c r="CP208" s="245"/>
      <c r="CQ208" s="245"/>
      <c r="CR208" s="245"/>
      <c r="CS208" s="245"/>
      <c r="CT208" s="245"/>
      <c r="CU208" s="245"/>
    </row>
    <row r="209" spans="2:99" x14ac:dyDescent="0.2">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45"/>
      <c r="AW209" s="245"/>
      <c r="AX209" s="245"/>
      <c r="AY209" s="245"/>
      <c r="AZ209" s="245"/>
      <c r="BA209" s="245"/>
      <c r="BB209" s="245"/>
      <c r="BC209" s="245"/>
      <c r="BD209" s="245"/>
      <c r="BE209" s="245"/>
      <c r="BF209" s="245"/>
      <c r="BG209" s="245"/>
      <c r="BH209" s="245"/>
      <c r="BI209" s="245"/>
      <c r="BJ209" s="245"/>
      <c r="BK209" s="245"/>
      <c r="BL209" s="245"/>
      <c r="BM209" s="245"/>
      <c r="BN209" s="245"/>
      <c r="BO209" s="245"/>
      <c r="BP209" s="245"/>
      <c r="BQ209" s="245"/>
      <c r="BR209" s="245"/>
      <c r="BS209" s="245"/>
      <c r="BT209" s="245"/>
      <c r="BU209" s="245"/>
      <c r="BV209" s="245"/>
      <c r="BW209" s="245"/>
      <c r="BX209" s="245"/>
      <c r="BY209" s="245"/>
      <c r="BZ209" s="245"/>
      <c r="CA209" s="245"/>
      <c r="CB209" s="245"/>
      <c r="CC209" s="245"/>
      <c r="CD209" s="245"/>
      <c r="CE209" s="245"/>
      <c r="CF209" s="245"/>
      <c r="CG209" s="245"/>
      <c r="CH209" s="245"/>
      <c r="CI209" s="245"/>
      <c r="CJ209" s="245"/>
      <c r="CK209" s="245"/>
      <c r="CL209" s="245"/>
      <c r="CM209" s="245"/>
      <c r="CN209" s="245"/>
      <c r="CO209" s="245"/>
      <c r="CP209" s="245"/>
      <c r="CQ209" s="245"/>
      <c r="CR209" s="245"/>
      <c r="CS209" s="245"/>
      <c r="CT209" s="245"/>
      <c r="CU209" s="245"/>
    </row>
    <row r="210" spans="2:99" x14ac:dyDescent="0.2">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c r="CH210" s="245"/>
      <c r="CI210" s="245"/>
      <c r="CJ210" s="245"/>
      <c r="CK210" s="245"/>
      <c r="CL210" s="245"/>
      <c r="CM210" s="245"/>
      <c r="CN210" s="245"/>
      <c r="CO210" s="245"/>
      <c r="CP210" s="245"/>
      <c r="CQ210" s="245"/>
      <c r="CR210" s="245"/>
      <c r="CS210" s="245"/>
      <c r="CT210" s="245"/>
      <c r="CU210" s="245"/>
    </row>
    <row r="211" spans="2:99" x14ac:dyDescent="0.2">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45"/>
      <c r="AW211" s="245"/>
      <c r="AX211" s="245"/>
      <c r="AY211" s="245"/>
      <c r="AZ211" s="245"/>
      <c r="BA211" s="245"/>
      <c r="BB211" s="245"/>
      <c r="BC211" s="245"/>
      <c r="BD211" s="245"/>
      <c r="BE211" s="245"/>
      <c r="BF211" s="245"/>
      <c r="BG211" s="245"/>
      <c r="BH211" s="245"/>
      <c r="BI211" s="245"/>
      <c r="BJ211" s="245"/>
      <c r="BK211" s="245"/>
      <c r="BL211" s="245"/>
      <c r="BM211" s="245"/>
      <c r="BN211" s="245"/>
      <c r="BO211" s="245"/>
      <c r="BP211" s="245"/>
      <c r="BQ211" s="245"/>
      <c r="BR211" s="245"/>
      <c r="BS211" s="245"/>
      <c r="BT211" s="245"/>
      <c r="BU211" s="245"/>
      <c r="BV211" s="245"/>
      <c r="BW211" s="245"/>
      <c r="BX211" s="245"/>
      <c r="BY211" s="245"/>
      <c r="BZ211" s="245"/>
      <c r="CA211" s="245"/>
      <c r="CB211" s="245"/>
      <c r="CC211" s="245"/>
      <c r="CD211" s="245"/>
      <c r="CE211" s="245"/>
      <c r="CF211" s="245"/>
      <c r="CG211" s="245"/>
      <c r="CH211" s="245"/>
      <c r="CI211" s="245"/>
      <c r="CJ211" s="245"/>
      <c r="CK211" s="245"/>
      <c r="CL211" s="245"/>
      <c r="CM211" s="245"/>
      <c r="CN211" s="245"/>
      <c r="CO211" s="245"/>
      <c r="CP211" s="245"/>
      <c r="CQ211" s="245"/>
      <c r="CR211" s="245"/>
      <c r="CS211" s="245"/>
      <c r="CT211" s="245"/>
      <c r="CU211" s="245"/>
    </row>
    <row r="212" spans="2:99" x14ac:dyDescent="0.2">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45"/>
      <c r="AW212" s="245"/>
      <c r="AX212" s="245"/>
      <c r="AY212" s="245"/>
      <c r="AZ212" s="245"/>
      <c r="BA212" s="245"/>
      <c r="BB212" s="245"/>
      <c r="BC212" s="245"/>
      <c r="BD212" s="245"/>
      <c r="BE212" s="245"/>
      <c r="BF212" s="245"/>
      <c r="BG212" s="245"/>
      <c r="BH212" s="245"/>
      <c r="BI212" s="245"/>
      <c r="BJ212" s="245"/>
      <c r="BK212" s="245"/>
      <c r="BL212" s="245"/>
      <c r="BM212" s="245"/>
      <c r="BN212" s="245"/>
      <c r="BO212" s="245"/>
      <c r="BP212" s="245"/>
      <c r="BQ212" s="245"/>
      <c r="BR212" s="245"/>
      <c r="BS212" s="245"/>
      <c r="BT212" s="245"/>
      <c r="BU212" s="245"/>
      <c r="BV212" s="245"/>
      <c r="BW212" s="245"/>
      <c r="BX212" s="245"/>
      <c r="BY212" s="245"/>
      <c r="BZ212" s="245"/>
      <c r="CA212" s="245"/>
      <c r="CB212" s="245"/>
      <c r="CC212" s="245"/>
      <c r="CD212" s="245"/>
      <c r="CE212" s="245"/>
      <c r="CF212" s="245"/>
      <c r="CG212" s="245"/>
      <c r="CH212" s="245"/>
      <c r="CI212" s="245"/>
      <c r="CJ212" s="245"/>
      <c r="CK212" s="245"/>
      <c r="CL212" s="245"/>
      <c r="CM212" s="245"/>
      <c r="CN212" s="245"/>
      <c r="CO212" s="245"/>
      <c r="CP212" s="245"/>
      <c r="CQ212" s="245"/>
      <c r="CR212" s="245"/>
      <c r="CS212" s="245"/>
      <c r="CT212" s="245"/>
      <c r="CU212" s="245"/>
    </row>
    <row r="213" spans="2:99" x14ac:dyDescent="0.2">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45"/>
      <c r="AW213" s="245"/>
      <c r="AX213" s="245"/>
      <c r="AY213" s="245"/>
      <c r="AZ213" s="245"/>
      <c r="BA213" s="245"/>
      <c r="BB213" s="245"/>
      <c r="BC213" s="245"/>
      <c r="BD213" s="245"/>
      <c r="BE213" s="245"/>
      <c r="BF213" s="245"/>
      <c r="BG213" s="245"/>
      <c r="BH213" s="245"/>
      <c r="BI213" s="245"/>
      <c r="BJ213" s="245"/>
      <c r="BK213" s="245"/>
      <c r="BL213" s="245"/>
      <c r="BM213" s="245"/>
      <c r="BN213" s="245"/>
      <c r="BO213" s="245"/>
      <c r="BP213" s="245"/>
      <c r="BQ213" s="245"/>
      <c r="BR213" s="245"/>
      <c r="BS213" s="245"/>
      <c r="BT213" s="245"/>
      <c r="BU213" s="245"/>
      <c r="BV213" s="245"/>
      <c r="BW213" s="245"/>
      <c r="BX213" s="245"/>
      <c r="BY213" s="245"/>
      <c r="BZ213" s="245"/>
      <c r="CA213" s="245"/>
      <c r="CB213" s="245"/>
      <c r="CC213" s="245"/>
      <c r="CD213" s="245"/>
      <c r="CE213" s="245"/>
      <c r="CF213" s="245"/>
      <c r="CG213" s="245"/>
      <c r="CH213" s="245"/>
      <c r="CI213" s="245"/>
      <c r="CJ213" s="245"/>
      <c r="CK213" s="245"/>
      <c r="CL213" s="245"/>
      <c r="CM213" s="245"/>
      <c r="CN213" s="245"/>
      <c r="CO213" s="245"/>
      <c r="CP213" s="245"/>
      <c r="CQ213" s="245"/>
      <c r="CR213" s="245"/>
      <c r="CS213" s="245"/>
      <c r="CT213" s="245"/>
      <c r="CU213" s="245"/>
    </row>
    <row r="214" spans="2:99" x14ac:dyDescent="0.2">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c r="BV214" s="245"/>
      <c r="BW214" s="245"/>
      <c r="BX214" s="245"/>
      <c r="BY214" s="245"/>
      <c r="BZ214" s="245"/>
      <c r="CA214" s="245"/>
      <c r="CB214" s="245"/>
      <c r="CC214" s="245"/>
      <c r="CD214" s="245"/>
      <c r="CE214" s="245"/>
      <c r="CF214" s="245"/>
      <c r="CG214" s="245"/>
      <c r="CH214" s="245"/>
      <c r="CI214" s="245"/>
      <c r="CJ214" s="245"/>
      <c r="CK214" s="245"/>
      <c r="CL214" s="245"/>
      <c r="CM214" s="245"/>
      <c r="CN214" s="245"/>
      <c r="CO214" s="245"/>
      <c r="CP214" s="245"/>
      <c r="CQ214" s="245"/>
      <c r="CR214" s="245"/>
      <c r="CS214" s="245"/>
      <c r="CT214" s="245"/>
      <c r="CU214" s="245"/>
    </row>
    <row r="215" spans="2:99" x14ac:dyDescent="0.2">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c r="BV215" s="245"/>
      <c r="BW215" s="245"/>
      <c r="BX215" s="245"/>
      <c r="BY215" s="245"/>
      <c r="BZ215" s="245"/>
      <c r="CA215" s="245"/>
      <c r="CB215" s="245"/>
      <c r="CC215" s="245"/>
      <c r="CD215" s="245"/>
      <c r="CE215" s="245"/>
      <c r="CF215" s="245"/>
      <c r="CG215" s="245"/>
      <c r="CH215" s="245"/>
      <c r="CI215" s="245"/>
      <c r="CJ215" s="245"/>
      <c r="CK215" s="245"/>
      <c r="CL215" s="245"/>
      <c r="CM215" s="245"/>
      <c r="CN215" s="245"/>
      <c r="CO215" s="245"/>
      <c r="CP215" s="245"/>
      <c r="CQ215" s="245"/>
      <c r="CR215" s="245"/>
      <c r="CS215" s="245"/>
      <c r="CT215" s="245"/>
      <c r="CU215" s="245"/>
    </row>
    <row r="216" spans="2:99" x14ac:dyDescent="0.2">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c r="BV216" s="245"/>
      <c r="BW216" s="245"/>
      <c r="BX216" s="245"/>
      <c r="BY216" s="245"/>
      <c r="BZ216" s="245"/>
      <c r="CA216" s="245"/>
      <c r="CB216" s="245"/>
      <c r="CC216" s="245"/>
      <c r="CD216" s="245"/>
      <c r="CE216" s="245"/>
      <c r="CF216" s="245"/>
      <c r="CG216" s="245"/>
      <c r="CH216" s="245"/>
      <c r="CI216" s="245"/>
      <c r="CJ216" s="245"/>
      <c r="CK216" s="245"/>
      <c r="CL216" s="245"/>
      <c r="CM216" s="245"/>
      <c r="CN216" s="245"/>
      <c r="CO216" s="245"/>
      <c r="CP216" s="245"/>
      <c r="CQ216" s="245"/>
      <c r="CR216" s="245"/>
      <c r="CS216" s="245"/>
      <c r="CT216" s="245"/>
      <c r="CU216" s="245"/>
    </row>
    <row r="217" spans="2:99" x14ac:dyDescent="0.2">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45"/>
      <c r="BU217" s="245"/>
      <c r="BV217" s="245"/>
      <c r="BW217" s="245"/>
      <c r="BX217" s="245"/>
      <c r="BY217" s="245"/>
      <c r="BZ217" s="245"/>
      <c r="CA217" s="245"/>
      <c r="CB217" s="245"/>
      <c r="CC217" s="245"/>
      <c r="CD217" s="245"/>
      <c r="CE217" s="245"/>
      <c r="CF217" s="245"/>
      <c r="CG217" s="245"/>
      <c r="CH217" s="245"/>
      <c r="CI217" s="245"/>
      <c r="CJ217" s="245"/>
      <c r="CK217" s="245"/>
      <c r="CL217" s="245"/>
      <c r="CM217" s="245"/>
      <c r="CN217" s="245"/>
      <c r="CO217" s="245"/>
      <c r="CP217" s="245"/>
      <c r="CQ217" s="245"/>
      <c r="CR217" s="245"/>
      <c r="CS217" s="245"/>
      <c r="CT217" s="245"/>
      <c r="CU217" s="245"/>
    </row>
    <row r="218" spans="2:99" x14ac:dyDescent="0.2">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c r="AV218" s="245"/>
      <c r="AW218" s="245"/>
      <c r="AX218" s="245"/>
      <c r="AY218" s="245"/>
      <c r="AZ218" s="245"/>
      <c r="BA218" s="245"/>
      <c r="BB218" s="245"/>
      <c r="BC218" s="245"/>
      <c r="BD218" s="245"/>
      <c r="BE218" s="245"/>
      <c r="BF218" s="245"/>
      <c r="BG218" s="245"/>
      <c r="BH218" s="245"/>
      <c r="BI218" s="245"/>
      <c r="BJ218" s="245"/>
      <c r="BK218" s="245"/>
      <c r="BL218" s="245"/>
      <c r="BM218" s="245"/>
      <c r="BN218" s="245"/>
      <c r="BO218" s="245"/>
      <c r="BP218" s="245"/>
      <c r="BQ218" s="245"/>
      <c r="BR218" s="245"/>
      <c r="BS218" s="245"/>
      <c r="BT218" s="245"/>
      <c r="BU218" s="245"/>
      <c r="BV218" s="245"/>
      <c r="BW218" s="245"/>
      <c r="BX218" s="245"/>
      <c r="BY218" s="245"/>
      <c r="BZ218" s="245"/>
      <c r="CA218" s="245"/>
      <c r="CB218" s="245"/>
      <c r="CC218" s="245"/>
      <c r="CD218" s="245"/>
      <c r="CE218" s="245"/>
      <c r="CF218" s="245"/>
      <c r="CG218" s="245"/>
      <c r="CH218" s="245"/>
      <c r="CI218" s="245"/>
      <c r="CJ218" s="245"/>
      <c r="CK218" s="245"/>
      <c r="CL218" s="245"/>
      <c r="CM218" s="245"/>
      <c r="CN218" s="245"/>
      <c r="CO218" s="245"/>
      <c r="CP218" s="245"/>
      <c r="CQ218" s="245"/>
      <c r="CR218" s="245"/>
      <c r="CS218" s="245"/>
      <c r="CT218" s="245"/>
      <c r="CU218" s="245"/>
    </row>
    <row r="219" spans="2:99" x14ac:dyDescent="0.2">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5"/>
      <c r="BC219" s="245"/>
      <c r="BD219" s="245"/>
      <c r="BE219" s="245"/>
      <c r="BF219" s="245"/>
      <c r="BG219" s="245"/>
      <c r="BH219" s="245"/>
      <c r="BI219" s="245"/>
      <c r="BJ219" s="245"/>
      <c r="BK219" s="245"/>
      <c r="BL219" s="245"/>
      <c r="BM219" s="245"/>
      <c r="BN219" s="245"/>
      <c r="BO219" s="245"/>
      <c r="BP219" s="245"/>
      <c r="BQ219" s="245"/>
      <c r="BR219" s="245"/>
      <c r="BS219" s="245"/>
      <c r="BT219" s="245"/>
      <c r="BU219" s="245"/>
      <c r="BV219" s="245"/>
      <c r="BW219" s="245"/>
      <c r="BX219" s="245"/>
      <c r="BY219" s="245"/>
      <c r="BZ219" s="245"/>
      <c r="CA219" s="245"/>
      <c r="CB219" s="245"/>
      <c r="CC219" s="245"/>
      <c r="CD219" s="245"/>
      <c r="CE219" s="245"/>
      <c r="CF219" s="245"/>
      <c r="CG219" s="245"/>
      <c r="CH219" s="245"/>
      <c r="CI219" s="245"/>
      <c r="CJ219" s="245"/>
      <c r="CK219" s="245"/>
      <c r="CL219" s="245"/>
      <c r="CM219" s="245"/>
      <c r="CN219" s="245"/>
      <c r="CO219" s="245"/>
      <c r="CP219" s="245"/>
      <c r="CQ219" s="245"/>
      <c r="CR219" s="245"/>
      <c r="CS219" s="245"/>
      <c r="CT219" s="245"/>
      <c r="CU219" s="245"/>
    </row>
    <row r="220" spans="2:99" x14ac:dyDescent="0.2">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c r="AV220" s="245"/>
      <c r="AW220" s="245"/>
      <c r="AX220" s="245"/>
      <c r="AY220" s="245"/>
      <c r="AZ220" s="245"/>
      <c r="BA220" s="245"/>
      <c r="BB220" s="245"/>
      <c r="BC220" s="245"/>
      <c r="BD220" s="245"/>
      <c r="BE220" s="245"/>
      <c r="BF220" s="245"/>
      <c r="BG220" s="245"/>
      <c r="BH220" s="245"/>
      <c r="BI220" s="245"/>
      <c r="BJ220" s="245"/>
      <c r="BK220" s="245"/>
      <c r="BL220" s="245"/>
      <c r="BM220" s="245"/>
      <c r="BN220" s="245"/>
      <c r="BO220" s="245"/>
      <c r="BP220" s="245"/>
      <c r="BQ220" s="245"/>
      <c r="BR220" s="245"/>
      <c r="BS220" s="245"/>
      <c r="BT220" s="245"/>
      <c r="BU220" s="245"/>
      <c r="BV220" s="245"/>
      <c r="BW220" s="245"/>
      <c r="BX220" s="245"/>
      <c r="BY220" s="245"/>
      <c r="BZ220" s="245"/>
      <c r="CA220" s="245"/>
      <c r="CB220" s="245"/>
      <c r="CC220" s="245"/>
      <c r="CD220" s="245"/>
      <c r="CE220" s="245"/>
      <c r="CF220" s="245"/>
      <c r="CG220" s="245"/>
      <c r="CH220" s="245"/>
      <c r="CI220" s="245"/>
      <c r="CJ220" s="245"/>
      <c r="CK220" s="245"/>
      <c r="CL220" s="245"/>
      <c r="CM220" s="245"/>
      <c r="CN220" s="245"/>
      <c r="CO220" s="245"/>
      <c r="CP220" s="245"/>
      <c r="CQ220" s="245"/>
      <c r="CR220" s="245"/>
      <c r="CS220" s="245"/>
      <c r="CT220" s="245"/>
      <c r="CU220" s="245"/>
    </row>
    <row r="221" spans="2:99" x14ac:dyDescent="0.2">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c r="AV221" s="245"/>
      <c r="AW221" s="245"/>
      <c r="AX221" s="245"/>
      <c r="AY221" s="245"/>
      <c r="AZ221" s="245"/>
      <c r="BA221" s="245"/>
      <c r="BB221" s="245"/>
      <c r="BC221" s="245"/>
      <c r="BD221" s="245"/>
      <c r="BE221" s="245"/>
      <c r="BF221" s="245"/>
      <c r="BG221" s="245"/>
      <c r="BH221" s="245"/>
      <c r="BI221" s="245"/>
      <c r="BJ221" s="245"/>
      <c r="BK221" s="245"/>
      <c r="BL221" s="245"/>
      <c r="BM221" s="245"/>
      <c r="BN221" s="245"/>
      <c r="BO221" s="245"/>
      <c r="BP221" s="245"/>
      <c r="BQ221" s="245"/>
      <c r="BR221" s="245"/>
      <c r="BS221" s="245"/>
      <c r="BT221" s="245"/>
      <c r="BU221" s="245"/>
      <c r="BV221" s="245"/>
      <c r="BW221" s="245"/>
      <c r="BX221" s="245"/>
      <c r="BY221" s="245"/>
      <c r="BZ221" s="245"/>
      <c r="CA221" s="245"/>
      <c r="CB221" s="245"/>
      <c r="CC221" s="245"/>
      <c r="CD221" s="245"/>
      <c r="CE221" s="245"/>
      <c r="CF221" s="245"/>
      <c r="CG221" s="245"/>
      <c r="CH221" s="245"/>
      <c r="CI221" s="245"/>
      <c r="CJ221" s="245"/>
      <c r="CK221" s="245"/>
      <c r="CL221" s="245"/>
      <c r="CM221" s="245"/>
      <c r="CN221" s="245"/>
      <c r="CO221" s="245"/>
      <c r="CP221" s="245"/>
      <c r="CQ221" s="245"/>
      <c r="CR221" s="245"/>
      <c r="CS221" s="245"/>
      <c r="CT221" s="245"/>
      <c r="CU221" s="245"/>
    </row>
    <row r="222" spans="2:99" x14ac:dyDescent="0.2">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c r="AV222" s="245"/>
      <c r="AW222" s="245"/>
      <c r="AX222" s="245"/>
      <c r="AY222" s="245"/>
      <c r="AZ222" s="245"/>
      <c r="BA222" s="245"/>
      <c r="BB222" s="245"/>
      <c r="BC222" s="245"/>
      <c r="BD222" s="245"/>
      <c r="BE222" s="245"/>
      <c r="BF222" s="245"/>
      <c r="BG222" s="245"/>
      <c r="BH222" s="245"/>
      <c r="BI222" s="245"/>
      <c r="BJ222" s="245"/>
      <c r="BK222" s="245"/>
      <c r="BL222" s="245"/>
      <c r="BM222" s="245"/>
      <c r="BN222" s="245"/>
      <c r="BO222" s="245"/>
      <c r="BP222" s="245"/>
      <c r="BQ222" s="245"/>
      <c r="BR222" s="245"/>
      <c r="BS222" s="245"/>
      <c r="BT222" s="245"/>
      <c r="BU222" s="245"/>
      <c r="BV222" s="245"/>
      <c r="BW222" s="245"/>
      <c r="BX222" s="245"/>
      <c r="BY222" s="245"/>
      <c r="BZ222" s="245"/>
      <c r="CA222" s="245"/>
      <c r="CB222" s="245"/>
      <c r="CC222" s="245"/>
      <c r="CD222" s="245"/>
      <c r="CE222" s="245"/>
      <c r="CF222" s="245"/>
      <c r="CG222" s="245"/>
      <c r="CH222" s="245"/>
      <c r="CI222" s="245"/>
      <c r="CJ222" s="245"/>
      <c r="CK222" s="245"/>
      <c r="CL222" s="245"/>
      <c r="CM222" s="245"/>
      <c r="CN222" s="245"/>
      <c r="CO222" s="245"/>
      <c r="CP222" s="245"/>
      <c r="CQ222" s="245"/>
      <c r="CR222" s="245"/>
      <c r="CS222" s="245"/>
      <c r="CT222" s="245"/>
      <c r="CU222" s="245"/>
    </row>
    <row r="223" spans="2:99" x14ac:dyDescent="0.2">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45"/>
      <c r="AW223" s="245"/>
      <c r="AX223" s="245"/>
      <c r="AY223" s="245"/>
      <c r="AZ223" s="245"/>
      <c r="BA223" s="245"/>
      <c r="BB223" s="245"/>
      <c r="BC223" s="245"/>
      <c r="BD223" s="245"/>
      <c r="BE223" s="245"/>
      <c r="BF223" s="245"/>
      <c r="BG223" s="245"/>
      <c r="BH223" s="245"/>
      <c r="BI223" s="245"/>
      <c r="BJ223" s="245"/>
      <c r="BK223" s="245"/>
      <c r="BL223" s="245"/>
      <c r="BM223" s="245"/>
      <c r="BN223" s="245"/>
      <c r="BO223" s="245"/>
      <c r="BP223" s="245"/>
      <c r="BQ223" s="245"/>
      <c r="BR223" s="245"/>
      <c r="BS223" s="245"/>
      <c r="BT223" s="245"/>
      <c r="BU223" s="245"/>
      <c r="BV223" s="245"/>
      <c r="BW223" s="245"/>
      <c r="BX223" s="245"/>
      <c r="BY223" s="245"/>
      <c r="BZ223" s="245"/>
      <c r="CA223" s="245"/>
      <c r="CB223" s="245"/>
      <c r="CC223" s="245"/>
      <c r="CD223" s="245"/>
      <c r="CE223" s="245"/>
      <c r="CF223" s="245"/>
      <c r="CG223" s="245"/>
      <c r="CH223" s="245"/>
      <c r="CI223" s="245"/>
      <c r="CJ223" s="245"/>
      <c r="CK223" s="245"/>
      <c r="CL223" s="245"/>
      <c r="CM223" s="245"/>
      <c r="CN223" s="245"/>
      <c r="CO223" s="245"/>
      <c r="CP223" s="245"/>
      <c r="CQ223" s="245"/>
      <c r="CR223" s="245"/>
      <c r="CS223" s="245"/>
      <c r="CT223" s="245"/>
      <c r="CU223" s="245"/>
    </row>
    <row r="224" spans="2:99" x14ac:dyDescent="0.2">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c r="BJ224" s="245"/>
      <c r="BK224" s="245"/>
      <c r="BL224" s="245"/>
      <c r="BM224" s="245"/>
      <c r="BN224" s="245"/>
      <c r="BO224" s="245"/>
      <c r="BP224" s="245"/>
      <c r="BQ224" s="245"/>
      <c r="BR224" s="245"/>
      <c r="BS224" s="245"/>
      <c r="BT224" s="245"/>
      <c r="BU224" s="245"/>
      <c r="BV224" s="245"/>
      <c r="BW224" s="245"/>
      <c r="BX224" s="245"/>
      <c r="BY224" s="245"/>
      <c r="BZ224" s="245"/>
      <c r="CA224" s="245"/>
      <c r="CB224" s="245"/>
      <c r="CC224" s="245"/>
      <c r="CD224" s="245"/>
      <c r="CE224" s="245"/>
      <c r="CF224" s="245"/>
      <c r="CG224" s="245"/>
      <c r="CH224" s="245"/>
      <c r="CI224" s="245"/>
      <c r="CJ224" s="245"/>
      <c r="CK224" s="245"/>
      <c r="CL224" s="245"/>
      <c r="CM224" s="245"/>
      <c r="CN224" s="245"/>
      <c r="CO224" s="245"/>
      <c r="CP224" s="245"/>
      <c r="CQ224" s="245"/>
      <c r="CR224" s="245"/>
      <c r="CS224" s="245"/>
      <c r="CT224" s="245"/>
      <c r="CU224" s="245"/>
    </row>
    <row r="225" spans="2:68" x14ac:dyDescent="0.2">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c r="AS225" s="245"/>
      <c r="AT225" s="245"/>
      <c r="AU225" s="245"/>
      <c r="AV225" s="245"/>
      <c r="AW225" s="245"/>
      <c r="AX225" s="245"/>
      <c r="AY225" s="245"/>
      <c r="AZ225" s="245"/>
      <c r="BA225" s="245"/>
      <c r="BB225" s="245"/>
      <c r="BC225" s="245"/>
      <c r="BD225" s="245"/>
      <c r="BE225" s="245"/>
      <c r="BF225" s="245"/>
      <c r="BG225" s="245"/>
      <c r="BH225" s="245"/>
      <c r="BI225" s="245"/>
      <c r="BJ225" s="245"/>
      <c r="BK225" s="245"/>
      <c r="BL225" s="245"/>
      <c r="BM225" s="245"/>
      <c r="BN225" s="245"/>
      <c r="BO225" s="245"/>
      <c r="BP225" s="245"/>
    </row>
  </sheetData>
  <sheetProtection selectLockedCells="1" selectUnlockedCells="1"/>
  <mergeCells count="146">
    <mergeCell ref="CI3:CJ3"/>
    <mergeCell ref="CK3:CL3"/>
    <mergeCell ref="CE4:CF4"/>
    <mergeCell ref="CE6:CF6"/>
    <mergeCell ref="CG4:CH4"/>
    <mergeCell ref="CG6:CH6"/>
    <mergeCell ref="CI4:CJ4"/>
    <mergeCell ref="CI6:CJ6"/>
    <mergeCell ref="CK4:CL4"/>
    <mergeCell ref="CK6:CL6"/>
    <mergeCell ref="CP3:CQ3"/>
    <mergeCell ref="CP4:CQ4"/>
    <mergeCell ref="CP6:CQ6"/>
    <mergeCell ref="CR3:CS3"/>
    <mergeCell ref="CR4:CS4"/>
    <mergeCell ref="CR6:CS6"/>
    <mergeCell ref="CM3:CO3"/>
    <mergeCell ref="CM4:CO4"/>
    <mergeCell ref="CM6:CO6"/>
    <mergeCell ref="CC6:CD6"/>
    <mergeCell ref="CE3:CF3"/>
    <mergeCell ref="CG3:CH3"/>
    <mergeCell ref="BU3:BV3"/>
    <mergeCell ref="BQ6:BR6"/>
    <mergeCell ref="BS6:BT6"/>
    <mergeCell ref="BS4:BT4"/>
    <mergeCell ref="BU4:BV4"/>
    <mergeCell ref="BU6:BV6"/>
    <mergeCell ref="BQ4:BR4"/>
    <mergeCell ref="BS3:BT3"/>
    <mergeCell ref="CA4:CB4"/>
    <mergeCell ref="CA3:CB3"/>
    <mergeCell ref="CA6:CB6"/>
    <mergeCell ref="BY6:BZ6"/>
    <mergeCell ref="CC4:CD4"/>
    <mergeCell ref="CC3:CD3"/>
    <mergeCell ref="AC6:AD6"/>
    <mergeCell ref="AG3:AH3"/>
    <mergeCell ref="AI3:AJ3"/>
    <mergeCell ref="BO3:BP3"/>
    <mergeCell ref="BO4:BP4"/>
    <mergeCell ref="BO6:BP6"/>
    <mergeCell ref="BQ3:BR3"/>
    <mergeCell ref="AW6:AX6"/>
    <mergeCell ref="AS4:AT4"/>
    <mergeCell ref="AQ4:AR4"/>
    <mergeCell ref="AU4:AV4"/>
    <mergeCell ref="AW4:AX4"/>
    <mergeCell ref="AS6:AT6"/>
    <mergeCell ref="BC6:BD6"/>
    <mergeCell ref="BE6:BF6"/>
    <mergeCell ref="BC4:BD4"/>
    <mergeCell ref="BE4:BF4"/>
    <mergeCell ref="BG4:BH4"/>
    <mergeCell ref="BK4:BL4"/>
    <mergeCell ref="BK6:BL6"/>
    <mergeCell ref="AY4:AZ4"/>
    <mergeCell ref="BA4:BB4"/>
    <mergeCell ref="AY6:AZ6"/>
    <mergeCell ref="BM6:BN6"/>
    <mergeCell ref="BI6:BJ6"/>
    <mergeCell ref="BG6:BH6"/>
    <mergeCell ref="BM4:BN4"/>
    <mergeCell ref="BI4:BJ4"/>
    <mergeCell ref="BA6:BB6"/>
    <mergeCell ref="BM3:BN3"/>
    <mergeCell ref="BE3:BF3"/>
    <mergeCell ref="BG3:BH3"/>
    <mergeCell ref="AW3:AX3"/>
    <mergeCell ref="AY3:AZ3"/>
    <mergeCell ref="BA3:BB3"/>
    <mergeCell ref="BC3:BD3"/>
    <mergeCell ref="BI3:BJ3"/>
    <mergeCell ref="BK3:BL3"/>
    <mergeCell ref="AE3:AF3"/>
    <mergeCell ref="AG4:AH4"/>
    <mergeCell ref="AI4:AJ4"/>
    <mergeCell ref="AA3:AB3"/>
    <mergeCell ref="AS3:AT3"/>
    <mergeCell ref="AU3:AV3"/>
    <mergeCell ref="AQ3:AR3"/>
    <mergeCell ref="AQ6:AR6"/>
    <mergeCell ref="AE4:AF4"/>
    <mergeCell ref="AE6:AF6"/>
    <mergeCell ref="AG6:AH6"/>
    <mergeCell ref="AI6:AJ6"/>
    <mergeCell ref="AK6:AL6"/>
    <mergeCell ref="AM3:AN3"/>
    <mergeCell ref="AK3:AL3"/>
    <mergeCell ref="AK4:AL4"/>
    <mergeCell ref="AO3:AP3"/>
    <mergeCell ref="AM6:AN6"/>
    <mergeCell ref="AO4:AP4"/>
    <mergeCell ref="AM4:AN4"/>
    <mergeCell ref="AC3:AD3"/>
    <mergeCell ref="AC4:AD4"/>
    <mergeCell ref="AU6:AV6"/>
    <mergeCell ref="AO6:AP6"/>
    <mergeCell ref="Y4:Z4"/>
    <mergeCell ref="AA4:AB4"/>
    <mergeCell ref="Y6:Z6"/>
    <mergeCell ref="AA6:AB6"/>
    <mergeCell ref="H3:I3"/>
    <mergeCell ref="J3:K3"/>
    <mergeCell ref="L3:M3"/>
    <mergeCell ref="W3:X3"/>
    <mergeCell ref="W6:X6"/>
    <mergeCell ref="W4:X4"/>
    <mergeCell ref="L4:M4"/>
    <mergeCell ref="N4:O4"/>
    <mergeCell ref="P4:Q4"/>
    <mergeCell ref="R4:S4"/>
    <mergeCell ref="R3:S3"/>
    <mergeCell ref="H6:I6"/>
    <mergeCell ref="J6:K6"/>
    <mergeCell ref="L6:M6"/>
    <mergeCell ref="P6:Q6"/>
    <mergeCell ref="R6:S6"/>
    <mergeCell ref="N6:O6"/>
    <mergeCell ref="T3:V3"/>
    <mergeCell ref="T4:V4"/>
    <mergeCell ref="T6:V6"/>
    <mergeCell ref="CV3:CW4"/>
    <mergeCell ref="CT3:CU3"/>
    <mergeCell ref="CT4:CU4"/>
    <mergeCell ref="CT6:CU6"/>
    <mergeCell ref="CV6:CW6"/>
    <mergeCell ref="B6:C6"/>
    <mergeCell ref="D6:E6"/>
    <mergeCell ref="F6:G6"/>
    <mergeCell ref="N3:O3"/>
    <mergeCell ref="P3:Q3"/>
    <mergeCell ref="B4:C4"/>
    <mergeCell ref="D4:E4"/>
    <mergeCell ref="F4:G4"/>
    <mergeCell ref="H4:I4"/>
    <mergeCell ref="J4:K4"/>
    <mergeCell ref="B3:C3"/>
    <mergeCell ref="D3:E3"/>
    <mergeCell ref="F3:G3"/>
    <mergeCell ref="BW3:BX3"/>
    <mergeCell ref="BW4:BX4"/>
    <mergeCell ref="BW6:BX6"/>
    <mergeCell ref="BY3:BZ3"/>
    <mergeCell ref="BY4:BZ4"/>
    <mergeCell ref="Y3:Z3"/>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67FDD-CAA6-45C6-BAD6-34E2844C8594}">
  <sheetPr codeName="Hoja16">
    <tabColor theme="3" tint="-0.249977111117893"/>
  </sheetPr>
  <dimension ref="A1:E226"/>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C6"/>
    </sheetView>
  </sheetViews>
  <sheetFormatPr baseColWidth="10" defaultColWidth="15" defaultRowHeight="12" x14ac:dyDescent="0.2"/>
  <cols>
    <col min="1" max="1" width="49.140625" style="214" bestFit="1" customWidth="1"/>
    <col min="2" max="2" width="27.42578125" style="214" customWidth="1"/>
    <col min="3" max="3" width="27.7109375" style="214" customWidth="1"/>
    <col min="4" max="4" width="20.5703125" style="214" customWidth="1"/>
    <col min="5" max="5" width="18.85546875" style="214" customWidth="1"/>
    <col min="6" max="16384" width="15" style="214"/>
  </cols>
  <sheetData>
    <row r="1" spans="1:5" ht="18" x14ac:dyDescent="0.2">
      <c r="A1" s="248"/>
      <c r="B1" s="305" t="s">
        <v>464</v>
      </c>
    </row>
    <row r="2" spans="1:5" x14ac:dyDescent="0.2">
      <c r="A2" s="248"/>
    </row>
    <row r="3" spans="1:5" x14ac:dyDescent="0.2">
      <c r="B3" s="367" t="s">
        <v>193</v>
      </c>
      <c r="C3" s="367"/>
      <c r="D3" s="355" t="s">
        <v>92</v>
      </c>
      <c r="E3" s="357"/>
    </row>
    <row r="4" spans="1:5" s="215" customFormat="1" ht="48.6" customHeight="1" x14ac:dyDescent="0.2">
      <c r="A4" s="214"/>
      <c r="B4" s="368" t="s">
        <v>348</v>
      </c>
      <c r="C4" s="367"/>
      <c r="D4" s="351"/>
      <c r="E4" s="358"/>
    </row>
    <row r="5" spans="1:5" s="215" customFormat="1" x14ac:dyDescent="0.2">
      <c r="A5" s="214"/>
      <c r="B5" s="304">
        <v>2022</v>
      </c>
      <c r="C5" s="304">
        <v>2023</v>
      </c>
      <c r="D5" s="308">
        <v>2022</v>
      </c>
      <c r="E5" s="304">
        <v>2023</v>
      </c>
    </row>
    <row r="6" spans="1:5" x14ac:dyDescent="0.2">
      <c r="B6" s="367" t="s">
        <v>246</v>
      </c>
      <c r="C6" s="367"/>
      <c r="D6" s="369" t="s">
        <v>246</v>
      </c>
      <c r="E6" s="367"/>
    </row>
    <row r="7" spans="1:5" s="216" customFormat="1" ht="15" x14ac:dyDescent="0.2">
      <c r="A7" s="306" t="s">
        <v>39</v>
      </c>
      <c r="B7" s="253"/>
      <c r="C7" s="254"/>
      <c r="D7" s="253"/>
      <c r="E7" s="254"/>
    </row>
    <row r="8" spans="1:5" s="216" customFormat="1" x14ac:dyDescent="0.2">
      <c r="B8" s="209"/>
      <c r="C8" s="211"/>
      <c r="D8" s="209"/>
      <c r="E8" s="211"/>
    </row>
    <row r="9" spans="1:5" s="216" customFormat="1" x14ac:dyDescent="0.2">
      <c r="A9" s="218" t="s">
        <v>40</v>
      </c>
      <c r="B9" s="209"/>
      <c r="C9" s="211"/>
      <c r="D9" s="209"/>
      <c r="E9" s="211"/>
    </row>
    <row r="10" spans="1:5" x14ac:dyDescent="0.2">
      <c r="A10" s="214" t="s">
        <v>41</v>
      </c>
      <c r="B10" s="209">
        <v>5529238894</v>
      </c>
      <c r="C10" s="213">
        <v>5854978866</v>
      </c>
      <c r="D10" s="209">
        <f>+B10</f>
        <v>5529238894</v>
      </c>
      <c r="E10" s="209">
        <f t="shared" ref="E10:E11" si="0">+C10</f>
        <v>5854978866</v>
      </c>
    </row>
    <row r="11" spans="1:5" x14ac:dyDescent="0.2">
      <c r="A11" s="214" t="s">
        <v>42</v>
      </c>
      <c r="B11" s="213">
        <v>6439669105</v>
      </c>
      <c r="C11" s="213">
        <v>6337548481</v>
      </c>
      <c r="D11" s="209">
        <f t="shared" ref="D11" si="1">+B11</f>
        <v>6439669105</v>
      </c>
      <c r="E11" s="209">
        <f t="shared" si="0"/>
        <v>6337548481</v>
      </c>
    </row>
    <row r="12" spans="1:5" s="224" customFormat="1" x14ac:dyDescent="0.2">
      <c r="A12" s="223" t="s">
        <v>43</v>
      </c>
      <c r="B12" s="210">
        <f>+B10+B11</f>
        <v>11968907999</v>
      </c>
      <c r="C12" s="210">
        <f>+C10+C11</f>
        <v>12192527347</v>
      </c>
      <c r="D12" s="210">
        <f t="shared" ref="D12:E12" si="2">+D10+D11</f>
        <v>11968907999</v>
      </c>
      <c r="E12" s="210">
        <f t="shared" si="2"/>
        <v>12192527347</v>
      </c>
    </row>
    <row r="13" spans="1:5" x14ac:dyDescent="0.2">
      <c r="A13" s="218" t="s">
        <v>44</v>
      </c>
      <c r="B13" s="211"/>
      <c r="C13" s="211"/>
      <c r="D13" s="211"/>
      <c r="E13" s="211"/>
    </row>
    <row r="14" spans="1:5" x14ac:dyDescent="0.2">
      <c r="A14" s="214" t="s">
        <v>45</v>
      </c>
      <c r="B14" s="213">
        <v>4535216182</v>
      </c>
      <c r="C14" s="213">
        <v>5690717571</v>
      </c>
      <c r="D14" s="209">
        <f t="shared" ref="D14:D15" si="3">+B14</f>
        <v>4535216182</v>
      </c>
      <c r="E14" s="209">
        <f t="shared" ref="E14:E15" si="4">+C14</f>
        <v>5690717571</v>
      </c>
    </row>
    <row r="15" spans="1:5" x14ac:dyDescent="0.2">
      <c r="A15" s="226" t="s">
        <v>46</v>
      </c>
      <c r="B15" s="213">
        <v>6557836670</v>
      </c>
      <c r="C15" s="213">
        <v>4580921849</v>
      </c>
      <c r="D15" s="209">
        <f t="shared" si="3"/>
        <v>6557836670</v>
      </c>
      <c r="E15" s="209">
        <f t="shared" si="4"/>
        <v>4580921849</v>
      </c>
    </row>
    <row r="16" spans="1:5" s="224" customFormat="1" x14ac:dyDescent="0.2">
      <c r="A16" s="223" t="s">
        <v>47</v>
      </c>
      <c r="B16" s="210">
        <f>+B14+B15</f>
        <v>11093052852</v>
      </c>
      <c r="C16" s="210">
        <f>+C14+C15</f>
        <v>10271639420</v>
      </c>
      <c r="D16" s="210">
        <f t="shared" ref="D16:E16" si="5">+D14+D15</f>
        <v>11093052852</v>
      </c>
      <c r="E16" s="210">
        <f t="shared" si="5"/>
        <v>10271639420</v>
      </c>
    </row>
    <row r="17" spans="1:5" x14ac:dyDescent="0.2">
      <c r="A17" s="218" t="s">
        <v>48</v>
      </c>
      <c r="B17" s="209"/>
      <c r="C17" s="209"/>
      <c r="D17" s="209"/>
      <c r="E17" s="209"/>
    </row>
    <row r="18" spans="1:5" x14ac:dyDescent="0.2">
      <c r="A18" s="214" t="s">
        <v>94</v>
      </c>
      <c r="B18" s="213">
        <v>209000000</v>
      </c>
      <c r="C18" s="213">
        <v>209000000</v>
      </c>
      <c r="D18" s="209">
        <f t="shared" ref="D18:D31" si="6">+B18</f>
        <v>209000000</v>
      </c>
      <c r="E18" s="209">
        <f t="shared" ref="E18:E31" si="7">+C18</f>
        <v>209000000</v>
      </c>
    </row>
    <row r="19" spans="1:5" x14ac:dyDescent="0.2">
      <c r="A19" s="214" t="s">
        <v>182</v>
      </c>
      <c r="B19" s="213"/>
      <c r="C19" s="213"/>
      <c r="D19" s="209">
        <f t="shared" si="6"/>
        <v>0</v>
      </c>
      <c r="E19" s="209">
        <f t="shared" si="7"/>
        <v>0</v>
      </c>
    </row>
    <row r="20" spans="1:5" x14ac:dyDescent="0.2">
      <c r="A20" s="214" t="s">
        <v>181</v>
      </c>
      <c r="B20" s="213"/>
      <c r="C20" s="213"/>
      <c r="D20" s="209">
        <f t="shared" si="6"/>
        <v>0</v>
      </c>
      <c r="E20" s="209">
        <f t="shared" si="7"/>
        <v>0</v>
      </c>
    </row>
    <row r="21" spans="1:5" s="216" customFormat="1" x14ac:dyDescent="0.2">
      <c r="A21" s="214" t="s">
        <v>50</v>
      </c>
      <c r="B21" s="213">
        <v>174651250</v>
      </c>
      <c r="C21" s="213">
        <v>174651250</v>
      </c>
      <c r="D21" s="209">
        <f t="shared" si="6"/>
        <v>174651250</v>
      </c>
      <c r="E21" s="209">
        <f t="shared" si="7"/>
        <v>174651250</v>
      </c>
    </row>
    <row r="22" spans="1:5" s="216" customFormat="1" x14ac:dyDescent="0.2">
      <c r="A22" s="214" t="s">
        <v>95</v>
      </c>
      <c r="B22" s="213"/>
      <c r="C22" s="213"/>
      <c r="D22" s="209">
        <f t="shared" si="6"/>
        <v>0</v>
      </c>
      <c r="E22" s="209">
        <f t="shared" si="7"/>
        <v>0</v>
      </c>
    </row>
    <row r="23" spans="1:5" x14ac:dyDescent="0.2">
      <c r="A23" s="214" t="s">
        <v>51</v>
      </c>
      <c r="B23" s="209"/>
      <c r="C23" s="209"/>
      <c r="D23" s="209">
        <f t="shared" si="6"/>
        <v>0</v>
      </c>
      <c r="E23" s="209">
        <f t="shared" si="7"/>
        <v>0</v>
      </c>
    </row>
    <row r="24" spans="1:5" s="216" customFormat="1" x14ac:dyDescent="0.2">
      <c r="A24" s="214" t="s">
        <v>52</v>
      </c>
      <c r="B24" s="209"/>
      <c r="C24" s="209"/>
      <c r="D24" s="209">
        <f t="shared" si="6"/>
        <v>0</v>
      </c>
      <c r="E24" s="209">
        <f t="shared" si="7"/>
        <v>0</v>
      </c>
    </row>
    <row r="25" spans="1:5" s="216" customFormat="1" x14ac:dyDescent="0.2">
      <c r="A25" s="214" t="s">
        <v>53</v>
      </c>
      <c r="B25" s="211"/>
      <c r="C25" s="211"/>
      <c r="D25" s="209">
        <f t="shared" si="6"/>
        <v>0</v>
      </c>
      <c r="E25" s="209">
        <f t="shared" si="7"/>
        <v>0</v>
      </c>
    </row>
    <row r="26" spans="1:5" x14ac:dyDescent="0.2">
      <c r="A26" s="214" t="s">
        <v>54</v>
      </c>
      <c r="B26" s="213">
        <v>-668652549</v>
      </c>
      <c r="C26" s="213">
        <v>1045032781</v>
      </c>
      <c r="D26" s="209">
        <f t="shared" si="6"/>
        <v>-668652549</v>
      </c>
      <c r="E26" s="209">
        <f t="shared" si="7"/>
        <v>1045032781</v>
      </c>
    </row>
    <row r="27" spans="1:5" x14ac:dyDescent="0.2">
      <c r="A27" s="214" t="s">
        <v>55</v>
      </c>
      <c r="B27" s="213">
        <v>948156446</v>
      </c>
      <c r="C27" s="213">
        <v>279503896</v>
      </c>
      <c r="D27" s="209">
        <f t="shared" si="6"/>
        <v>948156446</v>
      </c>
      <c r="E27" s="209">
        <f t="shared" si="7"/>
        <v>279503896</v>
      </c>
    </row>
    <row r="28" spans="1:5" x14ac:dyDescent="0.2">
      <c r="A28" s="214" t="s">
        <v>56</v>
      </c>
      <c r="B28" s="213"/>
      <c r="C28" s="213"/>
      <c r="D28" s="209">
        <f t="shared" si="6"/>
        <v>0</v>
      </c>
      <c r="E28" s="209">
        <f t="shared" si="7"/>
        <v>0</v>
      </c>
    </row>
    <row r="29" spans="1:5" x14ac:dyDescent="0.2">
      <c r="A29" s="214" t="s">
        <v>57</v>
      </c>
      <c r="B29" s="209">
        <v>212700000</v>
      </c>
      <c r="C29" s="209">
        <v>212700000</v>
      </c>
      <c r="D29" s="209">
        <f t="shared" si="6"/>
        <v>212700000</v>
      </c>
      <c r="E29" s="209">
        <f t="shared" si="7"/>
        <v>212700000</v>
      </c>
    </row>
    <row r="30" spans="1:5" x14ac:dyDescent="0.2">
      <c r="A30" s="214" t="s">
        <v>96</v>
      </c>
      <c r="B30" s="213"/>
      <c r="C30" s="213"/>
      <c r="D30" s="209">
        <f t="shared" si="6"/>
        <v>0</v>
      </c>
      <c r="E30" s="209">
        <f t="shared" si="7"/>
        <v>0</v>
      </c>
    </row>
    <row r="31" spans="1:5" x14ac:dyDescent="0.2">
      <c r="A31" s="214" t="s">
        <v>58</v>
      </c>
      <c r="B31" s="209"/>
      <c r="C31" s="209"/>
      <c r="D31" s="209">
        <f t="shared" si="6"/>
        <v>0</v>
      </c>
      <c r="E31" s="209">
        <f t="shared" si="7"/>
        <v>0</v>
      </c>
    </row>
    <row r="32" spans="1:5" s="224" customFormat="1" x14ac:dyDescent="0.2">
      <c r="A32" s="223" t="s">
        <v>59</v>
      </c>
      <c r="B32" s="210">
        <f>SUM(B18:B31)</f>
        <v>875855147</v>
      </c>
      <c r="C32" s="210">
        <f>SUM(C18:C31)</f>
        <v>1920887927</v>
      </c>
      <c r="D32" s="210">
        <f t="shared" ref="D32:E32" si="8">SUM(D18:D31)</f>
        <v>875855147</v>
      </c>
      <c r="E32" s="210">
        <f t="shared" si="8"/>
        <v>1920887927</v>
      </c>
    </row>
    <row r="33" spans="1:5" s="224" customFormat="1" x14ac:dyDescent="0.2">
      <c r="A33" s="223" t="s">
        <v>60</v>
      </c>
      <c r="B33" s="210">
        <f>+B16+B32</f>
        <v>11968907999</v>
      </c>
      <c r="C33" s="210">
        <f>+C16+C32</f>
        <v>12192527347</v>
      </c>
      <c r="D33" s="210">
        <f t="shared" ref="D33:E33" si="9">+D16+D32</f>
        <v>11968907999</v>
      </c>
      <c r="E33" s="210">
        <f t="shared" si="9"/>
        <v>12192527347</v>
      </c>
    </row>
    <row r="34" spans="1:5" s="224" customFormat="1" x14ac:dyDescent="0.2">
      <c r="A34" s="232"/>
      <c r="B34" s="233"/>
      <c r="C34" s="233"/>
      <c r="D34" s="233"/>
      <c r="E34" s="233"/>
    </row>
    <row r="35" spans="1:5" s="224" customFormat="1" ht="15" x14ac:dyDescent="0.2">
      <c r="A35" s="306" t="s">
        <v>242</v>
      </c>
      <c r="B35" s="213"/>
      <c r="C35" s="233"/>
      <c r="D35" s="233"/>
      <c r="E35" s="233"/>
    </row>
    <row r="36" spans="1:5" s="224" customFormat="1" x14ac:dyDescent="0.2">
      <c r="A36" s="216"/>
      <c r="B36" s="213"/>
      <c r="C36" s="233"/>
      <c r="D36" s="233"/>
      <c r="E36" s="233"/>
    </row>
    <row r="37" spans="1:5" x14ac:dyDescent="0.2">
      <c r="A37" s="226" t="s">
        <v>61</v>
      </c>
      <c r="B37" s="213">
        <v>4614815500</v>
      </c>
      <c r="C37" s="213">
        <v>4234050200</v>
      </c>
      <c r="D37" s="209">
        <f t="shared" ref="D37:D39" si="10">+B37</f>
        <v>4614815500</v>
      </c>
      <c r="E37" s="209">
        <f t="shared" ref="E37:E39" si="11">+C37</f>
        <v>4234050200</v>
      </c>
    </row>
    <row r="38" spans="1:5" x14ac:dyDescent="0.2">
      <c r="A38" s="226" t="s">
        <v>62</v>
      </c>
      <c r="B38" s="213">
        <v>5195393251</v>
      </c>
      <c r="C38" s="213">
        <v>3373023102</v>
      </c>
      <c r="D38" s="209">
        <f t="shared" si="10"/>
        <v>5195393251</v>
      </c>
      <c r="E38" s="209">
        <f t="shared" si="11"/>
        <v>3373023102</v>
      </c>
    </row>
    <row r="39" spans="1:5" x14ac:dyDescent="0.2">
      <c r="A39" s="214" t="s">
        <v>63</v>
      </c>
      <c r="B39" s="213">
        <v>702128695</v>
      </c>
      <c r="C39" s="213">
        <v>916854514</v>
      </c>
      <c r="D39" s="209">
        <f t="shared" si="10"/>
        <v>702128695</v>
      </c>
      <c r="E39" s="209">
        <f t="shared" si="11"/>
        <v>916854514</v>
      </c>
    </row>
    <row r="40" spans="1:5" s="224" customFormat="1" x14ac:dyDescent="0.2">
      <c r="A40" s="223" t="s">
        <v>64</v>
      </c>
      <c r="B40" s="210">
        <f>+B37-B38-B39</f>
        <v>-1282706446</v>
      </c>
      <c r="C40" s="210">
        <f>+C37-C38-C39</f>
        <v>-55827416</v>
      </c>
      <c r="D40" s="210">
        <f t="shared" ref="D40:E40" si="12">+D37-D38-D39</f>
        <v>-1282706446</v>
      </c>
      <c r="E40" s="210">
        <f t="shared" si="12"/>
        <v>-55827416</v>
      </c>
    </row>
    <row r="41" spans="1:5" x14ac:dyDescent="0.2">
      <c r="A41" s="214" t="s">
        <v>65</v>
      </c>
      <c r="B41" s="213">
        <v>756198363</v>
      </c>
      <c r="C41" s="213">
        <v>1474956029</v>
      </c>
      <c r="D41" s="209">
        <f t="shared" ref="D41:D42" si="13">+B41</f>
        <v>756198363</v>
      </c>
      <c r="E41" s="209">
        <f t="shared" ref="E41:E42" si="14">+C41</f>
        <v>1474956029</v>
      </c>
    </row>
    <row r="42" spans="1:5" x14ac:dyDescent="0.2">
      <c r="A42" s="214" t="s">
        <v>66</v>
      </c>
      <c r="B42" s="213">
        <v>142144466</v>
      </c>
      <c r="C42" s="213">
        <v>374095832</v>
      </c>
      <c r="D42" s="209">
        <f t="shared" si="13"/>
        <v>142144466</v>
      </c>
      <c r="E42" s="209">
        <f t="shared" si="14"/>
        <v>374095832</v>
      </c>
    </row>
    <row r="43" spans="1:5" s="224" customFormat="1" x14ac:dyDescent="0.2">
      <c r="A43" s="223" t="s">
        <v>67</v>
      </c>
      <c r="B43" s="210">
        <f>+B40+B41-B42</f>
        <v>-668652549</v>
      </c>
      <c r="C43" s="210">
        <f>+C40+C41-C42</f>
        <v>1045032781</v>
      </c>
      <c r="D43" s="210">
        <f t="shared" ref="D43:E43" si="15">+D40+D41-D42</f>
        <v>-668652549</v>
      </c>
      <c r="E43" s="210">
        <f t="shared" si="15"/>
        <v>1045032781</v>
      </c>
    </row>
    <row r="44" spans="1:5" x14ac:dyDescent="0.2">
      <c r="A44" s="214" t="s">
        <v>68</v>
      </c>
      <c r="B44" s="235"/>
      <c r="C44" s="235"/>
      <c r="D44" s="209">
        <f t="shared" ref="D44" si="16">+B44</f>
        <v>0</v>
      </c>
      <c r="E44" s="209">
        <f t="shared" ref="E44" si="17">+C44</f>
        <v>0</v>
      </c>
    </row>
    <row r="45" spans="1:5" s="224" customFormat="1" x14ac:dyDescent="0.2">
      <c r="A45" s="223" t="s">
        <v>69</v>
      </c>
      <c r="B45" s="210">
        <f>+B43+B44</f>
        <v>-668652549</v>
      </c>
      <c r="C45" s="210">
        <f>+C43+C44</f>
        <v>1045032781</v>
      </c>
      <c r="D45" s="210">
        <f t="shared" ref="D45:E45" si="18">+D43+D44</f>
        <v>-668652549</v>
      </c>
      <c r="E45" s="210">
        <f t="shared" si="18"/>
        <v>1045032781</v>
      </c>
    </row>
    <row r="46" spans="1:5" x14ac:dyDescent="0.2">
      <c r="A46" s="214" t="s">
        <v>98</v>
      </c>
      <c r="B46" s="235"/>
      <c r="C46" s="235"/>
      <c r="D46" s="209">
        <f t="shared" ref="D46" si="19">+B46</f>
        <v>0</v>
      </c>
      <c r="E46" s="209">
        <f t="shared" ref="E46" si="20">+C46</f>
        <v>0</v>
      </c>
    </row>
    <row r="47" spans="1:5" s="224" customFormat="1" x14ac:dyDescent="0.2">
      <c r="A47" s="223" t="s">
        <v>183</v>
      </c>
      <c r="B47" s="210">
        <f>+B45+B46</f>
        <v>-668652549</v>
      </c>
      <c r="C47" s="210">
        <f>+C45+C46</f>
        <v>1045032781</v>
      </c>
      <c r="D47" s="210">
        <f>+D45+D46</f>
        <v>-668652549</v>
      </c>
      <c r="E47" s="210">
        <f>+E45+E46</f>
        <v>1045032781</v>
      </c>
    </row>
    <row r="48" spans="1:5" s="216" customFormat="1" x14ac:dyDescent="0.2">
      <c r="A48" s="238"/>
      <c r="B48" s="240"/>
      <c r="C48" s="240"/>
      <c r="D48" s="240"/>
      <c r="E48" s="240"/>
    </row>
    <row r="49" spans="1:5" s="216" customFormat="1" x14ac:dyDescent="0.2">
      <c r="A49" s="238" t="s">
        <v>99</v>
      </c>
      <c r="B49" s="241">
        <f>+B12-B33</f>
        <v>0</v>
      </c>
      <c r="C49" s="241">
        <f>+C12-C33</f>
        <v>0</v>
      </c>
      <c r="D49" s="241">
        <f t="shared" ref="D49" si="21">+D12-D33</f>
        <v>0</v>
      </c>
      <c r="E49" s="241">
        <f>+E12-E33</f>
        <v>0</v>
      </c>
    </row>
    <row r="50" spans="1:5" s="216" customFormat="1" x14ac:dyDescent="0.2">
      <c r="A50" s="238" t="s">
        <v>100</v>
      </c>
      <c r="B50" s="241">
        <v>-668652549</v>
      </c>
      <c r="C50" s="241">
        <v>1045032781</v>
      </c>
      <c r="D50" s="241">
        <v>-668652549</v>
      </c>
      <c r="E50" s="241">
        <v>1045032781</v>
      </c>
    </row>
    <row r="51" spans="1:5" s="216" customFormat="1" x14ac:dyDescent="0.2">
      <c r="A51" s="238" t="s">
        <v>101</v>
      </c>
      <c r="B51" s="241">
        <f>+B45-B50</f>
        <v>0</v>
      </c>
      <c r="C51" s="241">
        <f>+C45-C50</f>
        <v>0</v>
      </c>
      <c r="D51" s="241">
        <f>+D45-D50</f>
        <v>0</v>
      </c>
      <c r="E51" s="241">
        <f>+E45-E50</f>
        <v>0</v>
      </c>
    </row>
    <row r="53" spans="1:5" s="238" customFormat="1" x14ac:dyDescent="0.2">
      <c r="B53" s="232"/>
      <c r="C53" s="232"/>
      <c r="D53" s="232"/>
      <c r="E53" s="232"/>
    </row>
    <row r="54" spans="1:5" s="238" customFormat="1" x14ac:dyDescent="0.2">
      <c r="B54" s="232"/>
      <c r="C54" s="232"/>
      <c r="D54" s="232"/>
      <c r="E54" s="232"/>
    </row>
    <row r="55" spans="1:5" s="216" customFormat="1" ht="15" x14ac:dyDescent="0.2">
      <c r="A55" s="306" t="s">
        <v>196</v>
      </c>
      <c r="B55" s="214"/>
      <c r="C55" s="214"/>
      <c r="D55" s="214"/>
      <c r="E55" s="214"/>
    </row>
    <row r="57" spans="1:5" x14ac:dyDescent="0.2">
      <c r="A57" s="207" t="s">
        <v>105</v>
      </c>
      <c r="B57" s="207"/>
      <c r="C57" s="207"/>
      <c r="D57" s="207"/>
      <c r="E57" s="207"/>
    </row>
    <row r="58" spans="1:5" ht="24" x14ac:dyDescent="0.2">
      <c r="A58" s="249" t="s">
        <v>195</v>
      </c>
      <c r="B58" s="206">
        <f>IFERROR(B10/B14,0)</f>
        <v>1.2191786834650169</v>
      </c>
      <c r="C58" s="206">
        <f>IFERROR(C10/C14,0)</f>
        <v>1.0288647772360164</v>
      </c>
      <c r="D58" s="206">
        <f>IFERROR(D10/D14,0)</f>
        <v>1.2191786834650169</v>
      </c>
      <c r="E58" s="206">
        <f>IFERROR(E10/E14,0)</f>
        <v>1.0288647772360164</v>
      </c>
    </row>
    <row r="59" spans="1:5" x14ac:dyDescent="0.2">
      <c r="A59" s="207" t="s">
        <v>106</v>
      </c>
      <c r="B59" s="208"/>
      <c r="C59" s="208"/>
      <c r="D59" s="208"/>
      <c r="E59" s="208"/>
    </row>
    <row r="60" spans="1:5" x14ac:dyDescent="0.2">
      <c r="A60" s="96" t="s">
        <v>74</v>
      </c>
      <c r="B60" s="87">
        <f>IFERROR(B14/B16,0)</f>
        <v>0.40883391096278171</v>
      </c>
      <c r="C60" s="87">
        <f>IFERROR(C14/C16,0)</f>
        <v>0.55402232674947227</v>
      </c>
      <c r="D60" s="87">
        <f>IFERROR(D14/D16,0)</f>
        <v>0.40883391096278171</v>
      </c>
      <c r="E60" s="87">
        <f>IFERROR(E14/E16,0)</f>
        <v>0.55402232674947227</v>
      </c>
    </row>
    <row r="61" spans="1:5" x14ac:dyDescent="0.2">
      <c r="A61" s="96" t="s">
        <v>75</v>
      </c>
      <c r="B61" s="86">
        <f>IFERROR(B16/B32,0)</f>
        <v>12.665396658335787</v>
      </c>
      <c r="C61" s="86">
        <f>IFERROR(C16/C32,0)</f>
        <v>5.3473392568206819</v>
      </c>
      <c r="D61" s="86">
        <f>IFERROR(D16/D32,0)</f>
        <v>12.665396658335787</v>
      </c>
      <c r="E61" s="86">
        <f>IFERROR(E16/E32,0)</f>
        <v>5.3473392568206819</v>
      </c>
    </row>
    <row r="62" spans="1:5" x14ac:dyDescent="0.2">
      <c r="A62" s="97" t="s">
        <v>76</v>
      </c>
      <c r="B62" s="86">
        <f>IFERROR(B15/B32,0)</f>
        <v>7.4873530086134208</v>
      </c>
      <c r="C62" s="86">
        <f>IFERROR(C15/C32,0)</f>
        <v>2.3847939198380939</v>
      </c>
      <c r="D62" s="86">
        <f>IFERROR(D15/D32,0)</f>
        <v>7.4873530086134208</v>
      </c>
      <c r="E62" s="86">
        <f>IFERROR(E15/E32,0)</f>
        <v>2.3847939198380939</v>
      </c>
    </row>
    <row r="63" spans="1:5" x14ac:dyDescent="0.2">
      <c r="A63" s="96" t="s">
        <v>77</v>
      </c>
      <c r="B63" s="86">
        <f>IFERROR(B16/B12,0)</f>
        <v>0.9268224680920617</v>
      </c>
      <c r="C63" s="86">
        <f>IFERROR(C16/C12,0)</f>
        <v>0.84245367081562139</v>
      </c>
      <c r="D63" s="86">
        <f>IFERROR(D16/D12,0)</f>
        <v>0.9268224680920617</v>
      </c>
      <c r="E63" s="86">
        <f>IFERROR(E16/E12,0)</f>
        <v>0.84245367081562139</v>
      </c>
    </row>
    <row r="64" spans="1:5" x14ac:dyDescent="0.2">
      <c r="A64" s="207" t="s">
        <v>107</v>
      </c>
      <c r="B64" s="208"/>
      <c r="C64" s="208"/>
      <c r="D64" s="208"/>
      <c r="E64" s="208"/>
    </row>
    <row r="65" spans="1:5" x14ac:dyDescent="0.2">
      <c r="A65" s="96" t="s">
        <v>79</v>
      </c>
      <c r="B65" s="86">
        <f>IFERROR(B12/B16,0)</f>
        <v>1.0789552847791661</v>
      </c>
      <c r="C65" s="86">
        <f>IFERROR(C12/C16,0)</f>
        <v>1.1870088939512249</v>
      </c>
      <c r="D65" s="86">
        <f>IFERROR(D12/D16,0)</f>
        <v>1.0789552847791661</v>
      </c>
      <c r="E65" s="86">
        <f>IFERROR(E12/E16,0)</f>
        <v>1.1870088939512249</v>
      </c>
    </row>
    <row r="66" spans="1:5" x14ac:dyDescent="0.2">
      <c r="A66" s="96" t="s">
        <v>80</v>
      </c>
      <c r="B66" s="86">
        <f>IFERROR(B12/B14,0)</f>
        <v>2.6391041835015221</v>
      </c>
      <c r="C66" s="86">
        <f>IFERROR(C12/C14,0)</f>
        <v>2.1425289859987675</v>
      </c>
      <c r="D66" s="86">
        <f>IFERROR(D12/D14,0)</f>
        <v>2.6391041835015221</v>
      </c>
      <c r="E66" s="86">
        <f>IFERROR(E12/E14,0)</f>
        <v>2.1425289859987675</v>
      </c>
    </row>
    <row r="67" spans="1:5" x14ac:dyDescent="0.2">
      <c r="A67" s="207" t="s">
        <v>108</v>
      </c>
      <c r="B67" s="208"/>
      <c r="C67" s="208"/>
      <c r="D67" s="208"/>
      <c r="E67" s="208"/>
    </row>
    <row r="68" spans="1:5" x14ac:dyDescent="0.2">
      <c r="A68" s="96" t="s">
        <v>82</v>
      </c>
      <c r="B68" s="86">
        <f t="shared" ref="B68:E69" si="22">IFERROR(B11/B15,0)</f>
        <v>0.98198070934877368</v>
      </c>
      <c r="C68" s="86">
        <f t="shared" si="22"/>
        <v>1.3834657498868848</v>
      </c>
      <c r="D68" s="86">
        <f t="shared" si="22"/>
        <v>0.98198070934877368</v>
      </c>
      <c r="E68" s="86">
        <f t="shared" si="22"/>
        <v>1.3834657498868848</v>
      </c>
    </row>
    <row r="69" spans="1:5" x14ac:dyDescent="0.2">
      <c r="A69" s="96" t="s">
        <v>83</v>
      </c>
      <c r="B69" s="86">
        <f t="shared" si="22"/>
        <v>1.0789552847791661</v>
      </c>
      <c r="C69" s="86">
        <f t="shared" si="22"/>
        <v>1.1870088939512249</v>
      </c>
      <c r="D69" s="86">
        <f t="shared" si="22"/>
        <v>1.0789552847791661</v>
      </c>
      <c r="E69" s="86">
        <f t="shared" si="22"/>
        <v>1.1870088939512249</v>
      </c>
    </row>
    <row r="70" spans="1:5" x14ac:dyDescent="0.2">
      <c r="A70" s="207" t="s">
        <v>109</v>
      </c>
      <c r="B70" s="208"/>
      <c r="C70" s="208"/>
      <c r="D70" s="208"/>
      <c r="E70" s="208"/>
    </row>
    <row r="71" spans="1:5" x14ac:dyDescent="0.2">
      <c r="A71" s="96" t="s">
        <v>85</v>
      </c>
      <c r="B71" s="86">
        <f>IFERROR(B32/B12,0)</f>
        <v>7.3177531907938256E-2</v>
      </c>
      <c r="C71" s="86">
        <f>IFERROR(C32/C12,0)</f>
        <v>0.15754632918437858</v>
      </c>
      <c r="D71" s="86">
        <f>IFERROR(D32/D12,0)</f>
        <v>7.3177531907938256E-2</v>
      </c>
      <c r="E71" s="86">
        <f>IFERROR(E32/E12,0)</f>
        <v>0.15754632918437858</v>
      </c>
    </row>
    <row r="72" spans="1:5" x14ac:dyDescent="0.2">
      <c r="A72" s="207" t="s">
        <v>110</v>
      </c>
      <c r="B72" s="208"/>
      <c r="C72" s="208"/>
      <c r="D72" s="208"/>
      <c r="E72" s="208"/>
    </row>
    <row r="73" spans="1:5" x14ac:dyDescent="0.2">
      <c r="A73" s="96" t="s">
        <v>284</v>
      </c>
      <c r="B73" s="86">
        <f>IFERROR(B40/B37,0)</f>
        <v>-0.27795400401164466</v>
      </c>
      <c r="C73" s="86">
        <f>IFERROR(C40/C37,0)</f>
        <v>-1.3185345794908147E-2</v>
      </c>
      <c r="D73" s="86">
        <f>IFERROR(D40/D37,0)</f>
        <v>-0.27795400401164466</v>
      </c>
      <c r="E73" s="86">
        <f>IFERROR(E40/E37,0)</f>
        <v>-1.3185345794908147E-2</v>
      </c>
    </row>
    <row r="74" spans="1:5" x14ac:dyDescent="0.2">
      <c r="A74" s="96" t="s">
        <v>88</v>
      </c>
      <c r="B74" s="86">
        <f>IFERROR(+B45/B37,0)</f>
        <v>-0.14489258541321967</v>
      </c>
      <c r="C74" s="86">
        <f>IFERROR(+C45/C37,0)</f>
        <v>0.24681634171460698</v>
      </c>
      <c r="D74" s="86">
        <f>IFERROR(+D45/D37,0)</f>
        <v>-0.14489258541321967</v>
      </c>
      <c r="E74" s="86">
        <f>IFERROR(+E45/E37,0)</f>
        <v>0.24681634171460698</v>
      </c>
    </row>
    <row r="75" spans="1:5" x14ac:dyDescent="0.2">
      <c r="A75" s="207" t="s">
        <v>89</v>
      </c>
      <c r="B75" s="208"/>
      <c r="C75" s="208"/>
      <c r="D75" s="208"/>
      <c r="E75" s="208"/>
    </row>
    <row r="76" spans="1:5" ht="24" x14ac:dyDescent="0.2">
      <c r="A76" s="204" t="s">
        <v>194</v>
      </c>
      <c r="B76" s="205">
        <f>B10-B14</f>
        <v>994022712</v>
      </c>
      <c r="C76" s="205">
        <f>C10-C14</f>
        <v>164261295</v>
      </c>
      <c r="D76" s="205">
        <f t="shared" ref="D76:E76" si="23">D10-D14</f>
        <v>994022712</v>
      </c>
      <c r="E76" s="205">
        <f t="shared" si="23"/>
        <v>164261295</v>
      </c>
    </row>
    <row r="77" spans="1:5" x14ac:dyDescent="0.2">
      <c r="A77" s="207" t="s">
        <v>219</v>
      </c>
      <c r="B77" s="208"/>
      <c r="C77" s="208"/>
      <c r="D77" s="208"/>
      <c r="E77" s="208"/>
    </row>
    <row r="78" spans="1:5" x14ac:dyDescent="0.2">
      <c r="A78" s="96" t="s">
        <v>220</v>
      </c>
      <c r="B78" s="86"/>
      <c r="C78" s="86">
        <f>IFERROR(C12/B12-1,"")</f>
        <v>1.8683354239056982E-2</v>
      </c>
      <c r="D78" s="86"/>
      <c r="E78" s="86">
        <f>IFERROR(E12/D12-1,"")</f>
        <v>1.8683354239056982E-2</v>
      </c>
    </row>
    <row r="79" spans="1:5" x14ac:dyDescent="0.2">
      <c r="A79" s="96" t="s">
        <v>221</v>
      </c>
      <c r="B79" s="86"/>
      <c r="C79" s="86">
        <f>IFERROR(C16/B16-1,"")</f>
        <v>-7.4047554172781638E-2</v>
      </c>
      <c r="D79" s="86"/>
      <c r="E79" s="86">
        <f>IFERROR(E16/D16-1,"")</f>
        <v>-7.4047554172781638E-2</v>
      </c>
    </row>
    <row r="80" spans="1:5" x14ac:dyDescent="0.2">
      <c r="A80" s="96" t="s">
        <v>222</v>
      </c>
      <c r="B80" s="86"/>
      <c r="C80" s="86">
        <f>IFERROR(C32/B32-1,"")</f>
        <v>1.1931570917628003</v>
      </c>
      <c r="D80" s="86"/>
      <c r="E80" s="86">
        <f>IFERROR(E32/D32-1,"")</f>
        <v>1.1931570917628003</v>
      </c>
    </row>
    <row r="81" spans="1:5" x14ac:dyDescent="0.2">
      <c r="A81" s="96" t="s">
        <v>61</v>
      </c>
      <c r="B81" s="86"/>
      <c r="C81" s="86">
        <f>IFERROR(C37/B37-1,"")</f>
        <v>-8.2509322420365461E-2</v>
      </c>
      <c r="D81" s="86"/>
      <c r="E81" s="86">
        <f>IFERROR(E37/D37-1,"")</f>
        <v>-8.2509322420365461E-2</v>
      </c>
    </row>
    <row r="82" spans="1:5" x14ac:dyDescent="0.2">
      <c r="A82" s="96" t="s">
        <v>223</v>
      </c>
      <c r="B82" s="86"/>
      <c r="C82" s="86">
        <f>IFERROR(C38/B38-1,"")</f>
        <v>-0.35076654662267071</v>
      </c>
      <c r="D82" s="86"/>
      <c r="E82" s="86">
        <f>IFERROR(E38/D38-1,"")</f>
        <v>-0.35076654662267071</v>
      </c>
    </row>
    <row r="83" spans="1:5" x14ac:dyDescent="0.2">
      <c r="A83" s="96" t="s">
        <v>224</v>
      </c>
      <c r="B83" s="86"/>
      <c r="C83" s="86">
        <f>IFERROR(C39/B39-1,"")</f>
        <v>0.30582117000644726</v>
      </c>
      <c r="D83" s="86"/>
      <c r="E83" s="86">
        <f>IFERROR(E39/D39-1,"")</f>
        <v>0.30582117000644726</v>
      </c>
    </row>
    <row r="84" spans="1:5" x14ac:dyDescent="0.2">
      <c r="A84" s="96" t="s">
        <v>64</v>
      </c>
      <c r="B84" s="86"/>
      <c r="C84" s="86">
        <f>IFERROR(C40/B40-1,"")</f>
        <v>-0.95647685705946783</v>
      </c>
      <c r="D84" s="86"/>
      <c r="E84" s="86">
        <f>IFERROR(E40/D40-1,"")</f>
        <v>-0.95647685705946783</v>
      </c>
    </row>
    <row r="85" spans="1:5" x14ac:dyDescent="0.2">
      <c r="A85" s="216"/>
    </row>
    <row r="86" spans="1:5" x14ac:dyDescent="0.2">
      <c r="A86" s="216"/>
    </row>
    <row r="87" spans="1:5" x14ac:dyDescent="0.2">
      <c r="A87" s="216"/>
    </row>
    <row r="88" spans="1:5" x14ac:dyDescent="0.2">
      <c r="A88" s="216"/>
    </row>
    <row r="89" spans="1:5" x14ac:dyDescent="0.2">
      <c r="A89" s="216"/>
    </row>
    <row r="90" spans="1:5" x14ac:dyDescent="0.2">
      <c r="A90" s="216"/>
    </row>
    <row r="91" spans="1:5" x14ac:dyDescent="0.2">
      <c r="A91" s="216"/>
    </row>
    <row r="92" spans="1:5" x14ac:dyDescent="0.2">
      <c r="A92" s="216"/>
    </row>
    <row r="93" spans="1:5" x14ac:dyDescent="0.2">
      <c r="A93" s="216"/>
    </row>
    <row r="94" spans="1:5" x14ac:dyDescent="0.2">
      <c r="A94" s="216"/>
    </row>
    <row r="95" spans="1:5" x14ac:dyDescent="0.2">
      <c r="A95" s="216"/>
    </row>
    <row r="96" spans="1:5"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216"/>
    </row>
    <row r="127" spans="1:1" x14ac:dyDescent="0.2">
      <c r="A127" s="216"/>
    </row>
    <row r="128" spans="1:1" x14ac:dyDescent="0.2">
      <c r="A128" s="216"/>
    </row>
    <row r="129" spans="1:3" x14ac:dyDescent="0.2">
      <c r="A129" s="216"/>
    </row>
    <row r="130" spans="1:3" x14ac:dyDescent="0.2">
      <c r="A130" s="216"/>
    </row>
    <row r="131" spans="1:3" x14ac:dyDescent="0.2">
      <c r="A131" s="216"/>
    </row>
    <row r="132" spans="1:3" x14ac:dyDescent="0.2">
      <c r="A132" s="216"/>
    </row>
    <row r="133" spans="1:3" x14ac:dyDescent="0.2">
      <c r="A133" s="216"/>
    </row>
    <row r="134" spans="1:3" x14ac:dyDescent="0.2">
      <c r="A134" s="216"/>
    </row>
    <row r="135" spans="1:3" x14ac:dyDescent="0.2">
      <c r="A135" s="216"/>
    </row>
    <row r="136" spans="1:3" x14ac:dyDescent="0.2">
      <c r="A136" s="216"/>
    </row>
    <row r="137" spans="1:3" x14ac:dyDescent="0.2">
      <c r="A137" s="216"/>
    </row>
    <row r="138" spans="1:3" x14ac:dyDescent="0.2">
      <c r="A138" s="216"/>
    </row>
    <row r="139" spans="1:3" x14ac:dyDescent="0.2">
      <c r="A139" s="216"/>
    </row>
    <row r="140" spans="1:3" x14ac:dyDescent="0.2">
      <c r="B140" s="245"/>
      <c r="C140" s="245"/>
    </row>
    <row r="141" spans="1:3" x14ac:dyDescent="0.2">
      <c r="B141" s="245"/>
      <c r="C141" s="245"/>
    </row>
    <row r="143" spans="1:3" x14ac:dyDescent="0.2">
      <c r="A143" s="244"/>
    </row>
    <row r="144" spans="1:3" x14ac:dyDescent="0.2">
      <c r="A144" s="216"/>
    </row>
    <row r="145" spans="1:3" x14ac:dyDescent="0.2">
      <c r="A145" s="216"/>
    </row>
    <row r="146" spans="1:3" x14ac:dyDescent="0.2">
      <c r="A146" s="216"/>
    </row>
    <row r="147" spans="1:3" x14ac:dyDescent="0.2">
      <c r="B147" s="245"/>
      <c r="C147" s="245"/>
    </row>
    <row r="150" spans="1:3" x14ac:dyDescent="0.2">
      <c r="B150" s="245"/>
      <c r="C150" s="245"/>
    </row>
    <row r="153" spans="1:3" x14ac:dyDescent="0.2">
      <c r="B153" s="245"/>
      <c r="C153" s="245"/>
    </row>
    <row r="155" spans="1:3" x14ac:dyDescent="0.2">
      <c r="B155" s="245"/>
      <c r="C155" s="245"/>
    </row>
    <row r="160" spans="1:3" x14ac:dyDescent="0.2">
      <c r="B160" s="228"/>
      <c r="C160" s="228"/>
    </row>
    <row r="168" spans="1:5" x14ac:dyDescent="0.2">
      <c r="D168" s="216"/>
      <c r="E168" s="216"/>
    </row>
    <row r="169" spans="1:5" s="216" customFormat="1" x14ac:dyDescent="0.2">
      <c r="A169" s="214"/>
    </row>
    <row r="170" spans="1:5" s="216" customFormat="1" x14ac:dyDescent="0.2"/>
    <row r="171" spans="1:5" s="216" customFormat="1" x14ac:dyDescent="0.2">
      <c r="D171" s="214"/>
      <c r="E171" s="214"/>
    </row>
    <row r="176" spans="1:5" x14ac:dyDescent="0.2">
      <c r="B176" s="245"/>
      <c r="C176" s="245"/>
    </row>
    <row r="181" spans="2:3" x14ac:dyDescent="0.2">
      <c r="B181" s="245"/>
      <c r="C181" s="245"/>
    </row>
    <row r="186" spans="2:3" x14ac:dyDescent="0.2">
      <c r="B186" s="245"/>
      <c r="C186" s="245"/>
    </row>
    <row r="187" spans="2:3" x14ac:dyDescent="0.2">
      <c r="B187" s="245"/>
      <c r="C187" s="245"/>
    </row>
    <row r="191" spans="2:3" x14ac:dyDescent="0.2">
      <c r="B191" s="245"/>
      <c r="C191" s="245"/>
    </row>
    <row r="197" spans="2:3" x14ac:dyDescent="0.2">
      <c r="B197" s="228"/>
      <c r="C197" s="216"/>
    </row>
    <row r="198" spans="2:3" x14ac:dyDescent="0.2">
      <c r="B198" s="228"/>
      <c r="C198" s="216"/>
    </row>
    <row r="199" spans="2:3" x14ac:dyDescent="0.2">
      <c r="B199" s="246"/>
      <c r="C199" s="245"/>
    </row>
    <row r="200" spans="2:3" x14ac:dyDescent="0.2">
      <c r="B200" s="246"/>
      <c r="C200" s="245"/>
    </row>
    <row r="201" spans="2:3" x14ac:dyDescent="0.2">
      <c r="B201" s="246"/>
      <c r="C201" s="245"/>
    </row>
    <row r="202" spans="2:3" x14ac:dyDescent="0.2">
      <c r="B202" s="246"/>
      <c r="C202" s="245"/>
    </row>
    <row r="203" spans="2:3" x14ac:dyDescent="0.2">
      <c r="B203" s="245"/>
      <c r="C203" s="245"/>
    </row>
    <row r="204" spans="2:3" x14ac:dyDescent="0.2">
      <c r="B204" s="245"/>
      <c r="C204" s="245"/>
    </row>
    <row r="205" spans="2:3" x14ac:dyDescent="0.2">
      <c r="B205" s="245"/>
      <c r="C205" s="245"/>
    </row>
    <row r="206" spans="2:3" x14ac:dyDescent="0.2">
      <c r="B206" s="245"/>
      <c r="C206" s="245"/>
    </row>
    <row r="207" spans="2:3" x14ac:dyDescent="0.2">
      <c r="B207" s="245"/>
      <c r="C207" s="245"/>
    </row>
    <row r="208" spans="2:3" x14ac:dyDescent="0.2">
      <c r="B208" s="245"/>
      <c r="C208" s="245"/>
    </row>
    <row r="209" spans="2:3" x14ac:dyDescent="0.2">
      <c r="B209" s="245"/>
      <c r="C209" s="245"/>
    </row>
    <row r="210" spans="2:3" x14ac:dyDescent="0.2">
      <c r="B210" s="245"/>
      <c r="C210" s="245"/>
    </row>
    <row r="211" spans="2:3" x14ac:dyDescent="0.2">
      <c r="B211" s="245"/>
      <c r="C211" s="245"/>
    </row>
    <row r="212" spans="2:3" x14ac:dyDescent="0.2">
      <c r="B212" s="245"/>
      <c r="C212" s="245"/>
    </row>
    <row r="213" spans="2:3" x14ac:dyDescent="0.2">
      <c r="B213" s="245"/>
      <c r="C213" s="245"/>
    </row>
    <row r="214" spans="2:3" x14ac:dyDescent="0.2">
      <c r="B214" s="245"/>
      <c r="C214" s="245"/>
    </row>
    <row r="215" spans="2:3" x14ac:dyDescent="0.2">
      <c r="B215" s="245"/>
      <c r="C215" s="245"/>
    </row>
    <row r="216" spans="2:3" x14ac:dyDescent="0.2">
      <c r="B216" s="245"/>
      <c r="C216" s="245"/>
    </row>
    <row r="217" spans="2:3" x14ac:dyDescent="0.2">
      <c r="B217" s="245"/>
      <c r="C217" s="245"/>
    </row>
    <row r="218" spans="2:3" x14ac:dyDescent="0.2">
      <c r="B218" s="245"/>
      <c r="C218" s="245"/>
    </row>
    <row r="219" spans="2:3" x14ac:dyDescent="0.2">
      <c r="B219" s="245"/>
      <c r="C219" s="245"/>
    </row>
    <row r="220" spans="2:3" x14ac:dyDescent="0.2">
      <c r="B220" s="245"/>
      <c r="C220" s="245"/>
    </row>
    <row r="221" spans="2:3" x14ac:dyDescent="0.2">
      <c r="B221" s="245"/>
      <c r="C221" s="245"/>
    </row>
    <row r="222" spans="2:3" x14ac:dyDescent="0.2">
      <c r="B222" s="245"/>
      <c r="C222" s="245"/>
    </row>
    <row r="223" spans="2:3" x14ac:dyDescent="0.2">
      <c r="B223" s="245"/>
      <c r="C223" s="245"/>
    </row>
    <row r="224" spans="2:3" x14ac:dyDescent="0.2">
      <c r="B224" s="245"/>
      <c r="C224" s="245"/>
    </row>
    <row r="225" spans="2:3" x14ac:dyDescent="0.2">
      <c r="B225" s="245"/>
      <c r="C225" s="245"/>
    </row>
    <row r="226" spans="2:3" x14ac:dyDescent="0.2">
      <c r="B226" s="245"/>
      <c r="C226" s="245"/>
    </row>
  </sheetData>
  <sheetProtection selectLockedCells="1" selectUnlockedCells="1"/>
  <mergeCells count="5">
    <mergeCell ref="B6:C6"/>
    <mergeCell ref="B3:C3"/>
    <mergeCell ref="B4:C4"/>
    <mergeCell ref="D6:E6"/>
    <mergeCell ref="D3:E4"/>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8383B-700B-44EB-8E8F-D18A92DC4619}">
  <sheetPr codeName="Hoja17">
    <tabColor theme="3" tint="-0.249977111117893"/>
  </sheetPr>
  <dimension ref="A1:BK227"/>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C6"/>
    </sheetView>
  </sheetViews>
  <sheetFormatPr baseColWidth="10" defaultColWidth="15" defaultRowHeight="12" x14ac:dyDescent="0.2"/>
  <cols>
    <col min="1" max="1" width="49.140625" style="214" bestFit="1" customWidth="1"/>
    <col min="2" max="2" width="20.140625" style="214" customWidth="1"/>
    <col min="3" max="3" width="18.140625" style="214" bestFit="1" customWidth="1"/>
    <col min="4" max="4" width="23.5703125" style="214" customWidth="1"/>
    <col min="5" max="5" width="22.5703125" style="214" customWidth="1"/>
    <col min="6" max="6" width="27.42578125" style="214" customWidth="1"/>
    <col min="7" max="7" width="27.7109375" style="214" customWidth="1"/>
    <col min="8" max="8" width="27.42578125" style="214" customWidth="1"/>
    <col min="9" max="9" width="27.7109375" style="214" customWidth="1"/>
    <col min="10" max="10" width="17.42578125" style="214" customWidth="1"/>
    <col min="11" max="11" width="17.140625" style="214" customWidth="1"/>
    <col min="12" max="12" width="27.42578125" style="214" customWidth="1"/>
    <col min="13" max="13" width="27.7109375" style="214" customWidth="1"/>
    <col min="14" max="14" width="23" style="214" customWidth="1"/>
    <col min="15" max="15" width="27.7109375" style="214" customWidth="1"/>
    <col min="16" max="16" width="27.42578125" style="214" customWidth="1"/>
    <col min="17" max="17" width="27.7109375" style="214" customWidth="1"/>
    <col min="18" max="18" width="27.42578125" style="214" customWidth="1"/>
    <col min="19" max="19" width="27.7109375" style="214" customWidth="1"/>
    <col min="20" max="20" width="27.42578125" style="214" customWidth="1"/>
    <col min="21" max="21" width="27.7109375" style="214" customWidth="1"/>
    <col min="22" max="22" width="27.42578125" style="214" customWidth="1"/>
    <col min="23" max="23" width="27.7109375" style="214" customWidth="1"/>
    <col min="24" max="24" width="27.42578125" style="214" customWidth="1"/>
    <col min="25" max="25" width="27.7109375" style="214" customWidth="1"/>
    <col min="26" max="26" width="27.42578125" style="214" customWidth="1"/>
    <col min="27" max="27" width="27.7109375" style="214" customWidth="1"/>
    <col min="28" max="28" width="27.42578125" style="214" customWidth="1"/>
    <col min="29" max="29" width="27.7109375" style="214" customWidth="1"/>
    <col min="30" max="30" width="11.85546875" style="214" customWidth="1"/>
    <col min="31" max="31" width="36.140625" style="214" customWidth="1"/>
    <col min="32" max="32" width="12.85546875" style="214" customWidth="1"/>
    <col min="33" max="35" width="16.85546875" style="214" customWidth="1"/>
    <col min="36" max="37" width="16.5703125" style="214" customWidth="1"/>
    <col min="38" max="38" width="14" style="214" customWidth="1"/>
    <col min="39" max="39" width="22.28515625" style="214" customWidth="1"/>
    <col min="40" max="40" width="18.5703125" style="214" customWidth="1"/>
    <col min="41" max="41" width="18.85546875" style="214" customWidth="1"/>
    <col min="42" max="42" width="18.5703125" style="214" customWidth="1"/>
    <col min="43" max="43" width="18.85546875" style="214" customWidth="1"/>
    <col min="44" max="44" width="18.5703125" style="214" customWidth="1"/>
    <col min="45" max="45" width="18.85546875" style="214" customWidth="1"/>
    <col min="46" max="46" width="18.5703125" style="214" customWidth="1"/>
    <col min="47" max="47" width="18.85546875" style="214" customWidth="1"/>
    <col min="48" max="48" width="18.5703125" style="214" customWidth="1"/>
    <col min="49" max="49" width="18.85546875" style="214" customWidth="1"/>
    <col min="50" max="50" width="18.5703125" style="214" customWidth="1"/>
    <col min="51" max="51" width="18.85546875" style="214" customWidth="1"/>
    <col min="52" max="52" width="18.5703125" style="214" customWidth="1"/>
    <col min="53" max="53" width="18.85546875" style="214" customWidth="1"/>
    <col min="54" max="54" width="18.5703125" style="214" customWidth="1"/>
    <col min="55" max="55" width="18.85546875" style="214" customWidth="1"/>
    <col min="56" max="56" width="18.5703125" style="214" customWidth="1"/>
    <col min="57" max="57" width="18.85546875" style="214" customWidth="1"/>
    <col min="58" max="58" width="18.5703125" style="214" customWidth="1"/>
    <col min="59" max="59" width="18.85546875" style="214" customWidth="1"/>
    <col min="60" max="60" width="18.5703125" style="214" customWidth="1"/>
    <col min="61" max="61" width="18.85546875" style="214" customWidth="1"/>
    <col min="62" max="62" width="20.5703125" style="214" customWidth="1"/>
    <col min="63" max="63" width="21.42578125" style="214" customWidth="1"/>
    <col min="64" max="16384" width="15" style="214"/>
  </cols>
  <sheetData>
    <row r="1" spans="1:63" ht="18" x14ac:dyDescent="0.2">
      <c r="A1" s="248"/>
      <c r="B1" s="305" t="s">
        <v>470</v>
      </c>
    </row>
    <row r="2" spans="1:63" x14ac:dyDescent="0.2">
      <c r="A2" s="248"/>
      <c r="AD2" s="353" t="s">
        <v>255</v>
      </c>
      <c r="AE2" s="353"/>
      <c r="AF2" s="353" t="s">
        <v>255</v>
      </c>
      <c r="AG2" s="353"/>
      <c r="AH2" s="353" t="s">
        <v>255</v>
      </c>
      <c r="AI2" s="353"/>
      <c r="AJ2" s="353" t="s">
        <v>256</v>
      </c>
      <c r="AK2" s="353"/>
      <c r="AL2" s="353" t="s">
        <v>255</v>
      </c>
      <c r="AM2" s="353"/>
      <c r="AN2" s="353" t="s">
        <v>256</v>
      </c>
      <c r="AO2" s="353"/>
      <c r="AP2" s="353" t="s">
        <v>255</v>
      </c>
      <c r="AQ2" s="353"/>
      <c r="AR2" s="353" t="s">
        <v>255</v>
      </c>
      <c r="AS2" s="353"/>
      <c r="AT2" s="353" t="s">
        <v>255</v>
      </c>
      <c r="AU2" s="353"/>
      <c r="AV2" s="353" t="s">
        <v>255</v>
      </c>
      <c r="AW2" s="353"/>
      <c r="AX2" s="353"/>
      <c r="AY2" s="353"/>
      <c r="AZ2" s="353"/>
      <c r="BA2" s="353"/>
      <c r="BB2" s="353"/>
      <c r="BC2" s="353"/>
      <c r="BD2" s="353"/>
      <c r="BE2" s="353"/>
      <c r="BF2" s="353"/>
      <c r="BG2" s="353"/>
      <c r="BH2" s="353"/>
      <c r="BI2" s="353"/>
    </row>
    <row r="3" spans="1:63" x14ac:dyDescent="0.2">
      <c r="B3" s="353" t="s">
        <v>190</v>
      </c>
      <c r="C3" s="353"/>
      <c r="D3" s="353" t="s">
        <v>190</v>
      </c>
      <c r="E3" s="353"/>
      <c r="F3" s="353" t="s">
        <v>190</v>
      </c>
      <c r="G3" s="353"/>
      <c r="H3" s="353" t="s">
        <v>190</v>
      </c>
      <c r="I3" s="353"/>
      <c r="J3" s="353" t="s">
        <v>190</v>
      </c>
      <c r="K3" s="353"/>
      <c r="L3" s="353" t="s">
        <v>190</v>
      </c>
      <c r="M3" s="353"/>
      <c r="N3" s="353" t="s">
        <v>190</v>
      </c>
      <c r="O3" s="353"/>
      <c r="P3" s="353" t="s">
        <v>190</v>
      </c>
      <c r="Q3" s="353"/>
      <c r="R3" s="353" t="s">
        <v>190</v>
      </c>
      <c r="S3" s="353"/>
      <c r="T3" s="353" t="s">
        <v>190</v>
      </c>
      <c r="U3" s="353"/>
      <c r="V3" s="353" t="s">
        <v>190</v>
      </c>
      <c r="W3" s="353"/>
      <c r="X3" s="353" t="s">
        <v>190</v>
      </c>
      <c r="Y3" s="353"/>
      <c r="Z3" s="353" t="s">
        <v>190</v>
      </c>
      <c r="AA3" s="353"/>
      <c r="AB3" s="353" t="s">
        <v>190</v>
      </c>
      <c r="AC3" s="353"/>
      <c r="AD3" s="353" t="s">
        <v>190</v>
      </c>
      <c r="AE3" s="353"/>
      <c r="AF3" s="353" t="s">
        <v>190</v>
      </c>
      <c r="AG3" s="353"/>
      <c r="AH3" s="353" t="s">
        <v>190</v>
      </c>
      <c r="AI3" s="353"/>
      <c r="AJ3" s="353" t="s">
        <v>190</v>
      </c>
      <c r="AK3" s="353"/>
      <c r="AL3" s="353" t="s">
        <v>190</v>
      </c>
      <c r="AM3" s="353"/>
      <c r="AN3" s="353" t="s">
        <v>190</v>
      </c>
      <c r="AO3" s="353"/>
      <c r="AP3" s="353" t="s">
        <v>190</v>
      </c>
      <c r="AQ3" s="353"/>
      <c r="AR3" s="353" t="s">
        <v>190</v>
      </c>
      <c r="AS3" s="353"/>
      <c r="AT3" s="353" t="s">
        <v>190</v>
      </c>
      <c r="AU3" s="353"/>
      <c r="AV3" s="353" t="s">
        <v>190</v>
      </c>
      <c r="AW3" s="353"/>
      <c r="AX3" s="353" t="s">
        <v>190</v>
      </c>
      <c r="AY3" s="353"/>
      <c r="AZ3" s="353" t="s">
        <v>190</v>
      </c>
      <c r="BA3" s="353"/>
      <c r="BB3" s="353" t="s">
        <v>190</v>
      </c>
      <c r="BC3" s="353"/>
      <c r="BD3" s="353" t="s">
        <v>190</v>
      </c>
      <c r="BE3" s="353"/>
      <c r="BF3" s="353" t="s">
        <v>190</v>
      </c>
      <c r="BG3" s="353"/>
      <c r="BH3" s="353" t="s">
        <v>190</v>
      </c>
      <c r="BI3" s="353"/>
      <c r="BJ3" s="355" t="s">
        <v>92</v>
      </c>
      <c r="BK3" s="357"/>
    </row>
    <row r="4" spans="1:63" s="215" customFormat="1" ht="38.1" customHeight="1" x14ac:dyDescent="0.2">
      <c r="A4" s="214"/>
      <c r="B4" s="354" t="s">
        <v>349</v>
      </c>
      <c r="C4" s="354"/>
      <c r="D4" s="354" t="s">
        <v>350</v>
      </c>
      <c r="E4" s="354"/>
      <c r="F4" s="354" t="s">
        <v>351</v>
      </c>
      <c r="G4" s="353"/>
      <c r="H4" s="354" t="s">
        <v>268</v>
      </c>
      <c r="I4" s="353"/>
      <c r="J4" s="354" t="s">
        <v>352</v>
      </c>
      <c r="K4" s="353"/>
      <c r="L4" s="354" t="s">
        <v>353</v>
      </c>
      <c r="M4" s="353"/>
      <c r="N4" s="354" t="s">
        <v>354</v>
      </c>
      <c r="O4" s="353"/>
      <c r="P4" s="354" t="s">
        <v>269</v>
      </c>
      <c r="Q4" s="353"/>
      <c r="R4" s="354" t="s">
        <v>449</v>
      </c>
      <c r="S4" s="353"/>
      <c r="T4" s="354" t="s">
        <v>355</v>
      </c>
      <c r="U4" s="353"/>
      <c r="V4" s="354" t="s">
        <v>356</v>
      </c>
      <c r="W4" s="353"/>
      <c r="X4" s="354" t="s">
        <v>450</v>
      </c>
      <c r="Y4" s="353"/>
      <c r="Z4" s="354" t="s">
        <v>357</v>
      </c>
      <c r="AA4" s="353"/>
      <c r="AB4" s="354" t="s">
        <v>358</v>
      </c>
      <c r="AC4" s="353"/>
      <c r="AD4" s="354" t="s">
        <v>270</v>
      </c>
      <c r="AE4" s="354"/>
      <c r="AF4" s="354" t="s">
        <v>271</v>
      </c>
      <c r="AG4" s="354"/>
      <c r="AH4" s="354" t="s">
        <v>272</v>
      </c>
      <c r="AI4" s="354"/>
      <c r="AJ4" s="354" t="s">
        <v>273</v>
      </c>
      <c r="AK4" s="354"/>
      <c r="AL4" s="354" t="s">
        <v>274</v>
      </c>
      <c r="AM4" s="354"/>
      <c r="AN4" s="354" t="s">
        <v>275</v>
      </c>
      <c r="AO4" s="354"/>
      <c r="AP4" s="354" t="s">
        <v>359</v>
      </c>
      <c r="AQ4" s="354"/>
      <c r="AR4" s="354" t="s">
        <v>360</v>
      </c>
      <c r="AS4" s="354"/>
      <c r="AT4" s="354" t="s">
        <v>361</v>
      </c>
      <c r="AU4" s="354"/>
      <c r="AV4" s="354" t="s">
        <v>362</v>
      </c>
      <c r="AW4" s="354"/>
      <c r="AX4" s="354" t="s">
        <v>363</v>
      </c>
      <c r="AY4" s="354"/>
      <c r="AZ4" s="354" t="s">
        <v>364</v>
      </c>
      <c r="BA4" s="354"/>
      <c r="BB4" s="354" t="s">
        <v>406</v>
      </c>
      <c r="BC4" s="354"/>
      <c r="BD4" s="354" t="s">
        <v>434</v>
      </c>
      <c r="BE4" s="354"/>
      <c r="BF4" s="354" t="s">
        <v>453</v>
      </c>
      <c r="BG4" s="354"/>
      <c r="BH4" s="354" t="s">
        <v>459</v>
      </c>
      <c r="BI4" s="354"/>
      <c r="BJ4" s="351"/>
      <c r="BK4" s="358"/>
    </row>
    <row r="5" spans="1:63" s="250" customFormat="1" x14ac:dyDescent="0.2">
      <c r="A5" s="257"/>
      <c r="B5" s="304">
        <v>2022</v>
      </c>
      <c r="C5" s="304">
        <v>2023</v>
      </c>
      <c r="D5" s="304">
        <v>2022</v>
      </c>
      <c r="E5" s="304">
        <v>2023</v>
      </c>
      <c r="F5" s="304">
        <v>2022</v>
      </c>
      <c r="G5" s="304">
        <v>2023</v>
      </c>
      <c r="H5" s="304">
        <v>2022</v>
      </c>
      <c r="I5" s="304">
        <v>2023</v>
      </c>
      <c r="J5" s="304">
        <v>2022</v>
      </c>
      <c r="K5" s="304">
        <v>2023</v>
      </c>
      <c r="L5" s="304">
        <v>2022</v>
      </c>
      <c r="M5" s="304">
        <v>2023</v>
      </c>
      <c r="N5" s="304">
        <v>2022</v>
      </c>
      <c r="O5" s="304">
        <v>2023</v>
      </c>
      <c r="P5" s="304">
        <v>2022</v>
      </c>
      <c r="Q5" s="304">
        <v>2023</v>
      </c>
      <c r="R5" s="304">
        <v>2022</v>
      </c>
      <c r="S5" s="304">
        <v>2023</v>
      </c>
      <c r="T5" s="304">
        <v>2022</v>
      </c>
      <c r="U5" s="304">
        <v>2023</v>
      </c>
      <c r="V5" s="304">
        <v>2022</v>
      </c>
      <c r="W5" s="304">
        <v>2023</v>
      </c>
      <c r="X5" s="304">
        <v>2022</v>
      </c>
      <c r="Y5" s="304">
        <v>2023</v>
      </c>
      <c r="Z5" s="304">
        <v>2022</v>
      </c>
      <c r="AA5" s="304">
        <v>2023</v>
      </c>
      <c r="AB5" s="304">
        <v>2022</v>
      </c>
      <c r="AC5" s="304">
        <v>2023</v>
      </c>
      <c r="AD5" s="304">
        <v>2022</v>
      </c>
      <c r="AE5" s="304">
        <v>2023</v>
      </c>
      <c r="AF5" s="304">
        <v>2022</v>
      </c>
      <c r="AG5" s="304">
        <v>2023</v>
      </c>
      <c r="AH5" s="304">
        <v>2022</v>
      </c>
      <c r="AI5" s="304">
        <v>2023</v>
      </c>
      <c r="AJ5" s="304">
        <v>2022</v>
      </c>
      <c r="AK5" s="304">
        <v>2023</v>
      </c>
      <c r="AL5" s="304">
        <v>2022</v>
      </c>
      <c r="AM5" s="304">
        <v>2023</v>
      </c>
      <c r="AN5" s="304">
        <v>2022</v>
      </c>
      <c r="AO5" s="304">
        <v>2023</v>
      </c>
      <c r="AP5" s="304">
        <v>2022</v>
      </c>
      <c r="AQ5" s="304">
        <v>2023</v>
      </c>
      <c r="AR5" s="304">
        <v>2022</v>
      </c>
      <c r="AS5" s="304">
        <v>2023</v>
      </c>
      <c r="AT5" s="304">
        <v>2022</v>
      </c>
      <c r="AU5" s="304">
        <v>2023</v>
      </c>
      <c r="AV5" s="304">
        <v>2022</v>
      </c>
      <c r="AW5" s="304">
        <v>2023</v>
      </c>
      <c r="AX5" s="304">
        <v>2022</v>
      </c>
      <c r="AY5" s="304">
        <v>2023</v>
      </c>
      <c r="AZ5" s="304">
        <v>2022</v>
      </c>
      <c r="BA5" s="304">
        <v>2023</v>
      </c>
      <c r="BB5" s="304">
        <v>2022</v>
      </c>
      <c r="BC5" s="304">
        <v>2023</v>
      </c>
      <c r="BD5" s="304">
        <v>2022</v>
      </c>
      <c r="BE5" s="304">
        <v>2023</v>
      </c>
      <c r="BF5" s="304">
        <v>2022</v>
      </c>
      <c r="BG5" s="304">
        <v>2023</v>
      </c>
      <c r="BH5" s="304">
        <v>2022</v>
      </c>
      <c r="BI5" s="304">
        <v>2023</v>
      </c>
      <c r="BJ5" s="304">
        <v>2022</v>
      </c>
      <c r="BK5" s="304">
        <v>2023</v>
      </c>
    </row>
    <row r="6" spans="1:63" x14ac:dyDescent="0.2">
      <c r="B6" s="353" t="s">
        <v>246</v>
      </c>
      <c r="C6" s="353"/>
      <c r="D6" s="353" t="s">
        <v>246</v>
      </c>
      <c r="E6" s="353"/>
      <c r="F6" s="353" t="s">
        <v>246</v>
      </c>
      <c r="G6" s="353"/>
      <c r="H6" s="353" t="s">
        <v>246</v>
      </c>
      <c r="I6" s="353"/>
      <c r="J6" s="353" t="s">
        <v>246</v>
      </c>
      <c r="K6" s="353"/>
      <c r="L6" s="353" t="s">
        <v>246</v>
      </c>
      <c r="M6" s="353"/>
      <c r="N6" s="353" t="s">
        <v>246</v>
      </c>
      <c r="O6" s="353"/>
      <c r="P6" s="353" t="s">
        <v>246</v>
      </c>
      <c r="Q6" s="353"/>
      <c r="R6" s="353" t="s">
        <v>246</v>
      </c>
      <c r="S6" s="353"/>
      <c r="T6" s="353" t="s">
        <v>246</v>
      </c>
      <c r="U6" s="353"/>
      <c r="V6" s="353" t="s">
        <v>246</v>
      </c>
      <c r="W6" s="353"/>
      <c r="X6" s="353" t="s">
        <v>246</v>
      </c>
      <c r="Y6" s="353"/>
      <c r="Z6" s="353" t="s">
        <v>246</v>
      </c>
      <c r="AA6" s="353"/>
      <c r="AB6" s="353" t="s">
        <v>246</v>
      </c>
      <c r="AC6" s="353"/>
      <c r="AD6" s="354" t="s">
        <v>102</v>
      </c>
      <c r="AE6" s="354"/>
      <c r="AF6" s="354" t="s">
        <v>102</v>
      </c>
      <c r="AG6" s="354"/>
      <c r="AH6" s="354" t="s">
        <v>102</v>
      </c>
      <c r="AI6" s="354"/>
      <c r="AJ6" s="354" t="s">
        <v>102</v>
      </c>
      <c r="AK6" s="354"/>
      <c r="AL6" s="354" t="s">
        <v>102</v>
      </c>
      <c r="AM6" s="354"/>
      <c r="AN6" s="354" t="s">
        <v>102</v>
      </c>
      <c r="AO6" s="354"/>
      <c r="AP6" s="354" t="s">
        <v>102</v>
      </c>
      <c r="AQ6" s="354"/>
      <c r="AR6" s="354" t="s">
        <v>102</v>
      </c>
      <c r="AS6" s="354"/>
      <c r="AT6" s="354" t="s">
        <v>102</v>
      </c>
      <c r="AU6" s="354"/>
      <c r="AV6" s="354" t="s">
        <v>102</v>
      </c>
      <c r="AW6" s="354"/>
      <c r="AX6" s="354" t="s">
        <v>102</v>
      </c>
      <c r="AY6" s="354"/>
      <c r="AZ6" s="354" t="s">
        <v>102</v>
      </c>
      <c r="BA6" s="354"/>
      <c r="BB6" s="354" t="s">
        <v>102</v>
      </c>
      <c r="BC6" s="354"/>
      <c r="BD6" s="354" t="s">
        <v>102</v>
      </c>
      <c r="BE6" s="354"/>
      <c r="BF6" s="354" t="s">
        <v>102</v>
      </c>
      <c r="BG6" s="354"/>
      <c r="BH6" s="354" t="s">
        <v>102</v>
      </c>
      <c r="BI6" s="354"/>
      <c r="BJ6" s="353" t="s">
        <v>246</v>
      </c>
      <c r="BK6" s="353"/>
    </row>
    <row r="7" spans="1:63" s="216" customFormat="1" ht="15" x14ac:dyDescent="0.2">
      <c r="A7" s="306" t="s">
        <v>39</v>
      </c>
      <c r="B7" s="253"/>
      <c r="C7" s="254"/>
      <c r="D7" s="253"/>
      <c r="E7" s="254"/>
      <c r="F7" s="253"/>
      <c r="G7" s="254"/>
      <c r="H7" s="253"/>
      <c r="I7" s="254"/>
      <c r="J7" s="253"/>
      <c r="K7" s="254"/>
      <c r="L7" s="253"/>
      <c r="M7" s="254"/>
      <c r="N7" s="253"/>
      <c r="O7" s="254"/>
      <c r="P7" s="253"/>
      <c r="Q7" s="254"/>
      <c r="R7" s="253"/>
      <c r="S7" s="254"/>
      <c r="T7" s="253"/>
      <c r="U7" s="254"/>
      <c r="V7" s="253"/>
      <c r="W7" s="254"/>
      <c r="X7" s="253"/>
      <c r="Y7" s="254"/>
      <c r="Z7" s="253"/>
      <c r="AA7" s="254"/>
      <c r="AB7" s="253"/>
      <c r="AC7" s="254"/>
      <c r="AD7" s="253"/>
      <c r="AE7" s="254"/>
      <c r="AF7" s="253"/>
      <c r="AG7" s="254"/>
      <c r="AH7" s="253"/>
      <c r="AI7" s="254"/>
      <c r="AJ7" s="253"/>
      <c r="AK7" s="254"/>
      <c r="AL7" s="253"/>
      <c r="AM7" s="254"/>
      <c r="AN7" s="253"/>
      <c r="AO7" s="254"/>
      <c r="AP7" s="253"/>
      <c r="AQ7" s="254"/>
      <c r="AR7" s="253"/>
      <c r="AS7" s="254"/>
      <c r="AT7" s="253"/>
      <c r="AU7" s="254"/>
      <c r="AV7" s="253"/>
      <c r="AW7" s="254"/>
      <c r="AX7" s="253"/>
      <c r="AY7" s="254"/>
      <c r="AZ7" s="253"/>
      <c r="BA7" s="254"/>
      <c r="BB7" s="253"/>
      <c r="BC7" s="254"/>
      <c r="BD7" s="253"/>
      <c r="BE7" s="254"/>
      <c r="BF7" s="253"/>
      <c r="BG7" s="254"/>
      <c r="BH7" s="253"/>
      <c r="BI7" s="254"/>
      <c r="BJ7" s="253"/>
      <c r="BK7" s="254"/>
    </row>
    <row r="8" spans="1:63" s="216" customFormat="1" x14ac:dyDescent="0.2">
      <c r="B8" s="209"/>
      <c r="C8" s="211"/>
      <c r="D8" s="209"/>
      <c r="E8" s="211"/>
      <c r="F8" s="209"/>
      <c r="G8" s="211"/>
      <c r="H8" s="209"/>
      <c r="I8" s="211"/>
      <c r="J8" s="209"/>
      <c r="K8" s="211"/>
      <c r="L8" s="209"/>
      <c r="M8" s="211"/>
      <c r="N8" s="209"/>
      <c r="O8" s="211"/>
      <c r="P8" s="209"/>
      <c r="Q8" s="211"/>
      <c r="R8" s="209"/>
      <c r="S8" s="211"/>
      <c r="T8" s="209"/>
      <c r="U8" s="211"/>
      <c r="V8" s="209"/>
      <c r="W8" s="211"/>
      <c r="X8" s="209"/>
      <c r="Y8" s="211"/>
      <c r="Z8" s="209"/>
      <c r="AA8" s="211"/>
      <c r="AB8" s="209"/>
      <c r="AC8" s="211"/>
      <c r="AD8" s="209"/>
      <c r="AE8" s="211"/>
      <c r="AF8" s="209"/>
      <c r="AG8" s="211"/>
      <c r="AH8" s="209"/>
      <c r="AI8" s="211"/>
      <c r="AJ8" s="209"/>
      <c r="AK8" s="211"/>
      <c r="AL8" s="209"/>
      <c r="AM8" s="211"/>
      <c r="AN8" s="209"/>
      <c r="AO8" s="211"/>
      <c r="AP8" s="209"/>
      <c r="AQ8" s="211"/>
      <c r="AR8" s="209"/>
      <c r="AS8" s="211"/>
      <c r="AT8" s="209"/>
      <c r="AU8" s="211"/>
      <c r="AV8" s="209"/>
      <c r="AW8" s="211"/>
      <c r="AX8" s="209"/>
      <c r="AY8" s="211"/>
      <c r="AZ8" s="209"/>
      <c r="BA8" s="211"/>
      <c r="BB8" s="209"/>
      <c r="BC8" s="211"/>
      <c r="BD8" s="209"/>
      <c r="BE8" s="211"/>
      <c r="BF8" s="209"/>
      <c r="BG8" s="211"/>
      <c r="BH8" s="209"/>
      <c r="BI8" s="211"/>
      <c r="BJ8" s="209"/>
      <c r="BK8" s="211"/>
    </row>
    <row r="9" spans="1:63" s="216" customFormat="1" x14ac:dyDescent="0.2">
      <c r="A9" s="218" t="s">
        <v>40</v>
      </c>
      <c r="B9" s="209"/>
      <c r="C9" s="211"/>
      <c r="D9" s="209"/>
      <c r="E9" s="211"/>
      <c r="F9" s="209"/>
      <c r="G9" s="211"/>
      <c r="H9" s="209"/>
      <c r="I9" s="211"/>
      <c r="J9" s="209"/>
      <c r="K9" s="211"/>
      <c r="L9" s="209"/>
      <c r="M9" s="211"/>
      <c r="N9" s="209"/>
      <c r="O9" s="211"/>
      <c r="P9" s="209"/>
      <c r="Q9" s="211"/>
      <c r="R9" s="209"/>
      <c r="S9" s="211"/>
      <c r="T9" s="209"/>
      <c r="U9" s="211"/>
      <c r="V9" s="209"/>
      <c r="W9" s="211"/>
      <c r="X9" s="209"/>
      <c r="Y9" s="211"/>
      <c r="Z9" s="209"/>
      <c r="AA9" s="211"/>
      <c r="AB9" s="209"/>
      <c r="AC9" s="211"/>
      <c r="AD9" s="209"/>
      <c r="AE9" s="211"/>
      <c r="AF9" s="209"/>
      <c r="AG9" s="211"/>
      <c r="AH9" s="209"/>
      <c r="AI9" s="211"/>
      <c r="AJ9" s="209"/>
      <c r="AK9" s="211"/>
      <c r="AL9" s="209"/>
      <c r="AM9" s="211"/>
      <c r="AN9" s="209"/>
      <c r="AO9" s="211"/>
      <c r="AP9" s="209"/>
      <c r="AQ9" s="211"/>
      <c r="AR9" s="209"/>
      <c r="AS9" s="211"/>
      <c r="AT9" s="209"/>
      <c r="AU9" s="211"/>
      <c r="AV9" s="209"/>
      <c r="AW9" s="211"/>
      <c r="AX9" s="209"/>
      <c r="AY9" s="211"/>
      <c r="AZ9" s="209"/>
      <c r="BA9" s="211"/>
      <c r="BB9" s="209"/>
      <c r="BC9" s="211"/>
      <c r="BD9" s="209"/>
      <c r="BE9" s="211"/>
      <c r="BF9" s="209"/>
      <c r="BG9" s="211"/>
      <c r="BH9" s="209"/>
      <c r="BI9" s="211"/>
      <c r="BJ9" s="209"/>
      <c r="BK9" s="211"/>
    </row>
    <row r="10" spans="1:63" x14ac:dyDescent="0.2">
      <c r="A10" s="214" t="s">
        <v>41</v>
      </c>
      <c r="B10" s="209"/>
      <c r="C10" s="213">
        <v>573005543</v>
      </c>
      <c r="D10" s="209">
        <v>15563632872</v>
      </c>
      <c r="E10" s="213">
        <v>16052140976</v>
      </c>
      <c r="F10" s="209">
        <v>14788680000</v>
      </c>
      <c r="G10" s="213">
        <v>14538895000</v>
      </c>
      <c r="H10" s="209">
        <v>2719207938</v>
      </c>
      <c r="I10" s="213">
        <v>945581116</v>
      </c>
      <c r="J10" s="209"/>
      <c r="K10" s="213">
        <v>1966028163</v>
      </c>
      <c r="L10" s="209">
        <v>278515150</v>
      </c>
      <c r="M10" s="213">
        <v>326096871</v>
      </c>
      <c r="N10" s="209"/>
      <c r="O10" s="213">
        <v>586981366</v>
      </c>
      <c r="P10" s="209">
        <v>18475805000</v>
      </c>
      <c r="Q10" s="213">
        <v>16790363000</v>
      </c>
      <c r="R10" s="209"/>
      <c r="S10" s="213">
        <v>23095000</v>
      </c>
      <c r="T10" s="209">
        <v>2801176384</v>
      </c>
      <c r="U10" s="213">
        <v>2707067101</v>
      </c>
      <c r="V10" s="209">
        <v>692949821</v>
      </c>
      <c r="W10" s="213">
        <v>1054359224</v>
      </c>
      <c r="X10" s="209"/>
      <c r="Y10" s="213">
        <v>3863969039</v>
      </c>
      <c r="Z10" s="209">
        <v>963296191</v>
      </c>
      <c r="AA10" s="213">
        <v>1331022412</v>
      </c>
      <c r="AB10" s="209">
        <v>196306578</v>
      </c>
      <c r="AC10" s="213">
        <v>521594590</v>
      </c>
      <c r="AD10" s="209"/>
      <c r="AE10" s="213">
        <f>412486278+969650175</f>
        <v>1382136453</v>
      </c>
      <c r="AF10" s="209"/>
      <c r="AG10" s="209">
        <v>153413986</v>
      </c>
      <c r="AH10" s="209">
        <v>901441000</v>
      </c>
      <c r="AI10" s="209">
        <v>705339000</v>
      </c>
      <c r="AJ10" s="209">
        <v>113319522</v>
      </c>
      <c r="AK10" s="209">
        <v>106833651</v>
      </c>
      <c r="AL10" s="209"/>
      <c r="AM10" s="213">
        <f>138133043+2338207645+347979002</f>
        <v>2824319690</v>
      </c>
      <c r="AN10" s="209">
        <v>5687629099</v>
      </c>
      <c r="AO10" s="209">
        <v>6354279651</v>
      </c>
      <c r="AP10" s="209"/>
      <c r="AQ10" s="209">
        <v>99261000</v>
      </c>
      <c r="AR10" s="209"/>
      <c r="AS10" s="209">
        <f>977618776+1025594631</f>
        <v>2003213407</v>
      </c>
      <c r="AT10" s="209">
        <v>2111348000</v>
      </c>
      <c r="AU10" s="209">
        <v>2233137000</v>
      </c>
      <c r="AV10" s="209">
        <v>176399616</v>
      </c>
      <c r="AW10" s="209">
        <v>226066815</v>
      </c>
      <c r="AX10" s="209">
        <v>1384651903</v>
      </c>
      <c r="AY10" s="209">
        <v>1277353804</v>
      </c>
      <c r="AZ10" s="209">
        <v>701428000</v>
      </c>
      <c r="BA10" s="209">
        <v>829318317</v>
      </c>
      <c r="BB10" s="209"/>
      <c r="BC10" s="209">
        <v>424422651</v>
      </c>
      <c r="BD10" s="209">
        <v>1184621883</v>
      </c>
      <c r="BE10" s="209">
        <v>859494808</v>
      </c>
      <c r="BF10" s="209">
        <v>1414627592</v>
      </c>
      <c r="BG10" s="209">
        <v>1322750985</v>
      </c>
      <c r="BH10" s="209"/>
      <c r="BI10" s="209">
        <v>217511799</v>
      </c>
      <c r="BJ10" s="209">
        <f>+B10+D10+F10+H10+J10+L10+N10+P10+R10+T10+V10+X10+Z10+AB10+AD10+AF10+AH10+AJ10+AL10+AN10+AP10+AR10+AT10+AV10+AX10+AZ10+BB10+BD10+BF10+BH10</f>
        <v>70155036549</v>
      </c>
      <c r="BK10" s="209">
        <f t="shared" ref="BK10:BK11" si="0">+C10+E10+G10+I10+K10+M10+O10+Q10+S10+U10+W10+Y10+AA10+AC10+AE10+AG10+AI10+AK10+AM10+AO10+AQ10+AS10+AU10+AW10+AY10+BA10+BC10+BE10+BG10+BI10</f>
        <v>82299052418</v>
      </c>
    </row>
    <row r="11" spans="1:63" x14ac:dyDescent="0.2">
      <c r="A11" s="214" t="s">
        <v>42</v>
      </c>
      <c r="B11" s="213"/>
      <c r="C11" s="213">
        <v>488872942</v>
      </c>
      <c r="D11" s="213">
        <v>3457150217</v>
      </c>
      <c r="E11" s="213">
        <v>2978773180</v>
      </c>
      <c r="F11" s="213">
        <v>50358498000</v>
      </c>
      <c r="G11" s="213">
        <v>52945313000</v>
      </c>
      <c r="H11" s="213">
        <v>1299482239</v>
      </c>
      <c r="I11" s="213">
        <v>1790478369</v>
      </c>
      <c r="J11" s="213"/>
      <c r="K11" s="213">
        <v>2293159640</v>
      </c>
      <c r="L11" s="213">
        <v>302964222</v>
      </c>
      <c r="M11" s="213">
        <v>281352768</v>
      </c>
      <c r="N11" s="213"/>
      <c r="O11" s="213">
        <v>31496945</v>
      </c>
      <c r="P11" s="213">
        <v>33222251000</v>
      </c>
      <c r="Q11" s="213">
        <v>32553864000</v>
      </c>
      <c r="R11" s="213"/>
      <c r="S11" s="213">
        <v>958362900</v>
      </c>
      <c r="T11" s="213">
        <v>8763177234</v>
      </c>
      <c r="U11" s="213">
        <v>8684816203</v>
      </c>
      <c r="V11" s="213">
        <v>540622156</v>
      </c>
      <c r="W11" s="213">
        <v>529597417</v>
      </c>
      <c r="X11" s="213"/>
      <c r="Y11" s="213">
        <f>1524065037+1595423350-436</f>
        <v>3119487951</v>
      </c>
      <c r="Z11" s="213">
        <v>317791256</v>
      </c>
      <c r="AA11" s="213">
        <v>234495256</v>
      </c>
      <c r="AB11" s="213">
        <v>1067914530</v>
      </c>
      <c r="AC11" s="213">
        <v>1026933824</v>
      </c>
      <c r="AD11" s="213"/>
      <c r="AE11" s="213">
        <f>18659633+833000</f>
        <v>19492633</v>
      </c>
      <c r="AF11" s="209"/>
      <c r="AG11" s="209">
        <v>354637700</v>
      </c>
      <c r="AH11" s="209"/>
      <c r="AI11" s="209"/>
      <c r="AJ11" s="209">
        <v>648867688</v>
      </c>
      <c r="AK11" s="209">
        <v>646424304</v>
      </c>
      <c r="AL11" s="213"/>
      <c r="AM11" s="213">
        <f>1730825416+2791327+30500768</f>
        <v>1764117511</v>
      </c>
      <c r="AN11" s="209">
        <v>2491907924</v>
      </c>
      <c r="AO11" s="209">
        <v>3148974582</v>
      </c>
      <c r="AP11" s="209"/>
      <c r="AQ11" s="209">
        <f>504288000+2100000</f>
        <v>506388000</v>
      </c>
      <c r="AR11" s="209"/>
      <c r="AS11" s="209">
        <v>1850237809</v>
      </c>
      <c r="AT11" s="209">
        <v>7110111000</v>
      </c>
      <c r="AU11" s="209">
        <v>7803901000</v>
      </c>
      <c r="AV11" s="209">
        <v>157171758</v>
      </c>
      <c r="AW11" s="209">
        <v>149970036</v>
      </c>
      <c r="AX11" s="209">
        <v>3696940730</v>
      </c>
      <c r="AY11" s="209">
        <v>3794918766</v>
      </c>
      <c r="AZ11" s="209">
        <v>542353000</v>
      </c>
      <c r="BA11" s="209">
        <v>569470650</v>
      </c>
      <c r="BB11" s="209"/>
      <c r="BC11" s="209">
        <v>1556564853</v>
      </c>
      <c r="BD11" s="209">
        <v>795585379</v>
      </c>
      <c r="BE11" s="209">
        <v>907935368</v>
      </c>
      <c r="BF11" s="209">
        <v>674230296</v>
      </c>
      <c r="BG11" s="209">
        <v>760561308</v>
      </c>
      <c r="BH11" s="209"/>
      <c r="BI11" s="209">
        <v>214229017</v>
      </c>
      <c r="BJ11" s="209">
        <f t="shared" ref="BJ11" si="1">+B11+D11+F11+H11+J11+L11+N11+P11+R11+T11+V11+X11+Z11+AB11+AD11+AF11+AH11+AJ11+AL11+AN11+AP11+AR11+AT11+AV11+AX11+AZ11+BB11+BD11+BF11+BH11</f>
        <v>115447018629</v>
      </c>
      <c r="BK11" s="209">
        <f t="shared" si="0"/>
        <v>131964827932</v>
      </c>
    </row>
    <row r="12" spans="1:63" s="224" customFormat="1" x14ac:dyDescent="0.2">
      <c r="A12" s="223" t="s">
        <v>43</v>
      </c>
      <c r="B12" s="210">
        <f t="shared" ref="B12:AO12" si="2">+B10+B11</f>
        <v>0</v>
      </c>
      <c r="C12" s="210">
        <f t="shared" si="2"/>
        <v>1061878485</v>
      </c>
      <c r="D12" s="210">
        <f t="shared" si="2"/>
        <v>19020783089</v>
      </c>
      <c r="E12" s="210">
        <f t="shared" si="2"/>
        <v>19030914156</v>
      </c>
      <c r="F12" s="210">
        <f t="shared" si="2"/>
        <v>65147178000</v>
      </c>
      <c r="G12" s="210">
        <f t="shared" si="2"/>
        <v>67484208000</v>
      </c>
      <c r="H12" s="210">
        <f t="shared" si="2"/>
        <v>4018690177</v>
      </c>
      <c r="I12" s="210">
        <f t="shared" si="2"/>
        <v>2736059485</v>
      </c>
      <c r="J12" s="210">
        <f t="shared" si="2"/>
        <v>0</v>
      </c>
      <c r="K12" s="210">
        <f t="shared" si="2"/>
        <v>4259187803</v>
      </c>
      <c r="L12" s="210">
        <f t="shared" si="2"/>
        <v>581479372</v>
      </c>
      <c r="M12" s="210">
        <f t="shared" si="2"/>
        <v>607449639</v>
      </c>
      <c r="N12" s="210">
        <f t="shared" si="2"/>
        <v>0</v>
      </c>
      <c r="O12" s="210">
        <f t="shared" si="2"/>
        <v>618478311</v>
      </c>
      <c r="P12" s="210">
        <f t="shared" si="2"/>
        <v>51698056000</v>
      </c>
      <c r="Q12" s="210">
        <f t="shared" si="2"/>
        <v>49344227000</v>
      </c>
      <c r="R12" s="210">
        <f t="shared" si="2"/>
        <v>0</v>
      </c>
      <c r="S12" s="210">
        <f t="shared" si="2"/>
        <v>981457900</v>
      </c>
      <c r="T12" s="210">
        <f t="shared" si="2"/>
        <v>11564353618</v>
      </c>
      <c r="U12" s="210">
        <f t="shared" si="2"/>
        <v>11391883304</v>
      </c>
      <c r="V12" s="210">
        <f t="shared" si="2"/>
        <v>1233571977</v>
      </c>
      <c r="W12" s="210">
        <f t="shared" si="2"/>
        <v>1583956641</v>
      </c>
      <c r="X12" s="210">
        <f t="shared" si="2"/>
        <v>0</v>
      </c>
      <c r="Y12" s="210">
        <f t="shared" si="2"/>
        <v>6983456990</v>
      </c>
      <c r="Z12" s="210">
        <f t="shared" si="2"/>
        <v>1281087447</v>
      </c>
      <c r="AA12" s="210">
        <f t="shared" si="2"/>
        <v>1565517668</v>
      </c>
      <c r="AB12" s="210">
        <f t="shared" si="2"/>
        <v>1264221108</v>
      </c>
      <c r="AC12" s="210">
        <f t="shared" si="2"/>
        <v>1548528414</v>
      </c>
      <c r="AD12" s="210">
        <f t="shared" si="2"/>
        <v>0</v>
      </c>
      <c r="AE12" s="210">
        <f>+AE10+AE11</f>
        <v>1401629086</v>
      </c>
      <c r="AF12" s="210">
        <f t="shared" si="2"/>
        <v>0</v>
      </c>
      <c r="AG12" s="210">
        <f t="shared" si="2"/>
        <v>508051686</v>
      </c>
      <c r="AH12" s="210">
        <f t="shared" si="2"/>
        <v>901441000</v>
      </c>
      <c r="AI12" s="210">
        <f t="shared" si="2"/>
        <v>705339000</v>
      </c>
      <c r="AJ12" s="210">
        <f t="shared" si="2"/>
        <v>762187210</v>
      </c>
      <c r="AK12" s="210">
        <f t="shared" si="2"/>
        <v>753257955</v>
      </c>
      <c r="AL12" s="210">
        <f t="shared" si="2"/>
        <v>0</v>
      </c>
      <c r="AM12" s="210">
        <f t="shared" si="2"/>
        <v>4588437201</v>
      </c>
      <c r="AN12" s="210">
        <f t="shared" si="2"/>
        <v>8179537023</v>
      </c>
      <c r="AO12" s="210">
        <f t="shared" si="2"/>
        <v>9503254233</v>
      </c>
      <c r="AP12" s="210">
        <f t="shared" ref="AP12:AQ12" si="3">+AP10+AP11</f>
        <v>0</v>
      </c>
      <c r="AQ12" s="210">
        <f t="shared" si="3"/>
        <v>605649000</v>
      </c>
      <c r="AR12" s="210">
        <f t="shared" ref="AR12:AS12" si="4">+AR10+AR11</f>
        <v>0</v>
      </c>
      <c r="AS12" s="210">
        <f t="shared" si="4"/>
        <v>3853451216</v>
      </c>
      <c r="AT12" s="210">
        <f t="shared" ref="AT12:AU12" si="5">+AT10+AT11</f>
        <v>9221459000</v>
      </c>
      <c r="AU12" s="210">
        <f t="shared" si="5"/>
        <v>10037038000</v>
      </c>
      <c r="AV12" s="210">
        <f t="shared" ref="AV12:AW12" si="6">+AV10+AV11</f>
        <v>333571374</v>
      </c>
      <c r="AW12" s="210">
        <f t="shared" si="6"/>
        <v>376036851</v>
      </c>
      <c r="AX12" s="210">
        <f t="shared" ref="AX12:AY12" si="7">+AX10+AX11</f>
        <v>5081592633</v>
      </c>
      <c r="AY12" s="210">
        <f t="shared" si="7"/>
        <v>5072272570</v>
      </c>
      <c r="AZ12" s="210">
        <f t="shared" ref="AZ12:BA12" si="8">+AZ10+AZ11</f>
        <v>1243781000</v>
      </c>
      <c r="BA12" s="210">
        <f t="shared" si="8"/>
        <v>1398788967</v>
      </c>
      <c r="BB12" s="210">
        <f t="shared" ref="BB12:BC12" si="9">+BB10+BB11</f>
        <v>0</v>
      </c>
      <c r="BC12" s="210">
        <f t="shared" si="9"/>
        <v>1980987504</v>
      </c>
      <c r="BD12" s="210">
        <f t="shared" ref="BD12:BE12" si="10">+BD10+BD11</f>
        <v>1980207262</v>
      </c>
      <c r="BE12" s="210">
        <f t="shared" si="10"/>
        <v>1767430176</v>
      </c>
      <c r="BF12" s="210">
        <f t="shared" ref="BF12:BG12" si="11">+BF10+BF11</f>
        <v>2088857888</v>
      </c>
      <c r="BG12" s="210">
        <f t="shared" si="11"/>
        <v>2083312293</v>
      </c>
      <c r="BH12" s="210">
        <f t="shared" ref="BH12:BI12" si="12">+BH10+BH11</f>
        <v>0</v>
      </c>
      <c r="BI12" s="210">
        <f t="shared" si="12"/>
        <v>431740816</v>
      </c>
      <c r="BJ12" s="210">
        <f>+BJ10+BJ11</f>
        <v>185602055178</v>
      </c>
      <c r="BK12" s="210">
        <f>+BK10+BK11</f>
        <v>214263880350</v>
      </c>
    </row>
    <row r="13" spans="1:63" x14ac:dyDescent="0.2">
      <c r="A13" s="218" t="s">
        <v>44</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row>
    <row r="14" spans="1:63" x14ac:dyDescent="0.2">
      <c r="A14" s="214" t="s">
        <v>45</v>
      </c>
      <c r="B14" s="213"/>
      <c r="C14" s="213">
        <v>116289701</v>
      </c>
      <c r="D14" s="213">
        <v>2079256657</v>
      </c>
      <c r="E14" s="213">
        <v>2474561969</v>
      </c>
      <c r="F14" s="213">
        <v>16624808000</v>
      </c>
      <c r="G14" s="213">
        <v>16745843000</v>
      </c>
      <c r="H14" s="213">
        <v>1820197394</v>
      </c>
      <c r="I14" s="213">
        <v>252124880</v>
      </c>
      <c r="J14" s="213"/>
      <c r="K14" s="213">
        <v>1421410978</v>
      </c>
      <c r="L14" s="213">
        <v>73891500</v>
      </c>
      <c r="M14" s="213">
        <v>133056487</v>
      </c>
      <c r="N14" s="213"/>
      <c r="O14" s="213">
        <v>463727199</v>
      </c>
      <c r="P14" s="213">
        <v>17588017000</v>
      </c>
      <c r="Q14" s="213">
        <v>9725229000</v>
      </c>
      <c r="R14" s="213"/>
      <c r="S14" s="213">
        <v>25000000</v>
      </c>
      <c r="T14" s="213">
        <v>2421404408</v>
      </c>
      <c r="U14" s="213">
        <v>2417279322</v>
      </c>
      <c r="V14" s="213">
        <v>271726301</v>
      </c>
      <c r="W14" s="213">
        <v>375224391</v>
      </c>
      <c r="X14" s="213"/>
      <c r="Y14" s="213">
        <v>1308351579</v>
      </c>
      <c r="Z14" s="213">
        <v>284105679</v>
      </c>
      <c r="AA14" s="213">
        <v>378602769</v>
      </c>
      <c r="AB14" s="213">
        <v>131432362</v>
      </c>
      <c r="AC14" s="213">
        <v>360698809</v>
      </c>
      <c r="AD14" s="213"/>
      <c r="AE14" s="213">
        <v>390433932</v>
      </c>
      <c r="AF14" s="209"/>
      <c r="AG14" s="209">
        <v>84839300</v>
      </c>
      <c r="AH14" s="209">
        <f>13395000+4607000+26007000</f>
        <v>44009000</v>
      </c>
      <c r="AI14" s="209">
        <f>7395000+1400000+13385000</f>
        <v>22180000</v>
      </c>
      <c r="AJ14" s="209">
        <v>64619976</v>
      </c>
      <c r="AK14" s="209">
        <v>40209311</v>
      </c>
      <c r="AL14" s="213"/>
      <c r="AM14" s="213">
        <f>1536697705+146893082+520246025+34476383</f>
        <v>2238313195</v>
      </c>
      <c r="AN14" s="209">
        <v>1596967657</v>
      </c>
      <c r="AO14" s="209">
        <v>1760258468</v>
      </c>
      <c r="AP14" s="209"/>
      <c r="AQ14" s="209">
        <v>84571000</v>
      </c>
      <c r="AR14" s="209"/>
      <c r="AS14" s="209">
        <v>77187111</v>
      </c>
      <c r="AT14" s="209">
        <v>848612000</v>
      </c>
      <c r="AU14" s="209">
        <v>1304394000</v>
      </c>
      <c r="AV14" s="209">
        <v>649404396</v>
      </c>
      <c r="AW14" s="209">
        <v>677730026</v>
      </c>
      <c r="AX14" s="209">
        <v>936938700</v>
      </c>
      <c r="AY14" s="209">
        <v>1054549233</v>
      </c>
      <c r="AZ14" s="209">
        <v>30030000</v>
      </c>
      <c r="BA14" s="209">
        <v>103598997</v>
      </c>
      <c r="BB14" s="209"/>
      <c r="BC14" s="209">
        <v>157115001</v>
      </c>
      <c r="BD14" s="209">
        <v>508810698</v>
      </c>
      <c r="BE14" s="209">
        <v>357983309</v>
      </c>
      <c r="BF14" s="209">
        <v>435290236</v>
      </c>
      <c r="BG14" s="209">
        <v>328979072</v>
      </c>
      <c r="BH14" s="209"/>
      <c r="BI14" s="209">
        <v>170110784</v>
      </c>
      <c r="BJ14" s="209">
        <f t="shared" ref="BJ14:BJ15" si="13">+B14+D14+F14+H14+J14+L14+N14+P14+R14+T14+V14+X14+Z14+AB14+AD14+AF14+AH14+AJ14+AL14+AN14+AP14+AR14+AT14+AV14+AX14+AZ14+BB14+BD14+BF14+BH14</f>
        <v>46409521964</v>
      </c>
      <c r="BK14" s="209">
        <f t="shared" ref="BK14:BK15" si="14">+C14+E14+G14+I14+K14+M14+O14+Q14+S14+U14+W14+Y14+AA14+AC14+AE14+AG14+AI14+AK14+AM14+AO14+AQ14+AS14+AU14+AW14+AY14+BA14+BC14+BE14+BG14+BI14</f>
        <v>45049852823</v>
      </c>
    </row>
    <row r="15" spans="1:63" x14ac:dyDescent="0.2">
      <c r="A15" s="226" t="s">
        <v>46</v>
      </c>
      <c r="B15" s="213"/>
      <c r="C15" s="213">
        <v>0</v>
      </c>
      <c r="D15" s="213">
        <v>7349472340</v>
      </c>
      <c r="E15" s="213">
        <v>4320777356</v>
      </c>
      <c r="F15" s="213">
        <v>7499193000</v>
      </c>
      <c r="G15" s="213">
        <v>2059353000</v>
      </c>
      <c r="H15" s="213">
        <v>473481292</v>
      </c>
      <c r="I15" s="213">
        <v>1762850823</v>
      </c>
      <c r="J15" s="213"/>
      <c r="K15" s="213">
        <v>1628453704</v>
      </c>
      <c r="L15" s="213">
        <v>77503288</v>
      </c>
      <c r="M15" s="213">
        <v>33870161</v>
      </c>
      <c r="N15" s="213"/>
      <c r="O15" s="213"/>
      <c r="P15" s="213">
        <v>6746526000</v>
      </c>
      <c r="Q15" s="213">
        <v>5180509000</v>
      </c>
      <c r="R15" s="213"/>
      <c r="S15" s="213"/>
      <c r="T15" s="213">
        <v>1877805507</v>
      </c>
      <c r="U15" s="213">
        <v>1769104173</v>
      </c>
      <c r="V15" s="213">
        <v>52895754</v>
      </c>
      <c r="W15" s="213">
        <v>193460343</v>
      </c>
      <c r="X15" s="213"/>
      <c r="Y15" s="213">
        <v>899740411</v>
      </c>
      <c r="Z15" s="213"/>
      <c r="AA15" s="213"/>
      <c r="AB15" s="213"/>
      <c r="AC15" s="213"/>
      <c r="AD15" s="213"/>
      <c r="AE15" s="213"/>
      <c r="AF15" s="209"/>
      <c r="AG15" s="209"/>
      <c r="AH15" s="209">
        <f>265164000+58722000+138965000+59010000</f>
        <v>521861000</v>
      </c>
      <c r="AI15" s="209">
        <v>490205000</v>
      </c>
      <c r="AJ15" s="209"/>
      <c r="AK15" s="209"/>
      <c r="AL15" s="213"/>
      <c r="AM15" s="213">
        <v>32310033</v>
      </c>
      <c r="AN15" s="209">
        <v>3020504415</v>
      </c>
      <c r="AO15" s="209">
        <v>3497332592</v>
      </c>
      <c r="AP15" s="209"/>
      <c r="AQ15" s="209">
        <f>286957000+5100000</f>
        <v>292057000</v>
      </c>
      <c r="AR15" s="209"/>
      <c r="AS15" s="209"/>
      <c r="AT15" s="209">
        <v>68416000</v>
      </c>
      <c r="AU15" s="209">
        <v>132919000</v>
      </c>
      <c r="AV15" s="209"/>
      <c r="AW15" s="209"/>
      <c r="AX15" s="209">
        <v>1138601646</v>
      </c>
      <c r="AY15" s="209">
        <v>1138601646</v>
      </c>
      <c r="AZ15" s="209"/>
      <c r="BA15" s="209"/>
      <c r="BB15" s="209"/>
      <c r="BC15" s="209">
        <v>708282292</v>
      </c>
      <c r="BD15" s="209">
        <v>100286922</v>
      </c>
      <c r="BE15" s="209">
        <v>231565758</v>
      </c>
      <c r="BF15" s="209"/>
      <c r="BG15" s="209"/>
      <c r="BH15" s="209"/>
      <c r="BI15" s="209"/>
      <c r="BJ15" s="209">
        <f t="shared" si="13"/>
        <v>28926547164</v>
      </c>
      <c r="BK15" s="209">
        <f t="shared" si="14"/>
        <v>24371392292</v>
      </c>
    </row>
    <row r="16" spans="1:63" s="224" customFormat="1" x14ac:dyDescent="0.2">
      <c r="A16" s="223" t="s">
        <v>47</v>
      </c>
      <c r="B16" s="210">
        <f t="shared" ref="B16:AO16" si="15">+B14+B15</f>
        <v>0</v>
      </c>
      <c r="C16" s="210">
        <f t="shared" si="15"/>
        <v>116289701</v>
      </c>
      <c r="D16" s="210">
        <f t="shared" si="15"/>
        <v>9428728997</v>
      </c>
      <c r="E16" s="210">
        <f t="shared" si="15"/>
        <v>6795339325</v>
      </c>
      <c r="F16" s="210">
        <f t="shared" si="15"/>
        <v>24124001000</v>
      </c>
      <c r="G16" s="210">
        <f t="shared" si="15"/>
        <v>18805196000</v>
      </c>
      <c r="H16" s="210">
        <f t="shared" si="15"/>
        <v>2293678686</v>
      </c>
      <c r="I16" s="210">
        <f t="shared" si="15"/>
        <v>2014975703</v>
      </c>
      <c r="J16" s="210">
        <f t="shared" si="15"/>
        <v>0</v>
      </c>
      <c r="K16" s="210">
        <f t="shared" si="15"/>
        <v>3049864682</v>
      </c>
      <c r="L16" s="210">
        <f t="shared" si="15"/>
        <v>151394788</v>
      </c>
      <c r="M16" s="210">
        <f t="shared" si="15"/>
        <v>166926648</v>
      </c>
      <c r="N16" s="210">
        <f t="shared" si="15"/>
        <v>0</v>
      </c>
      <c r="O16" s="210">
        <f t="shared" si="15"/>
        <v>463727199</v>
      </c>
      <c r="P16" s="210">
        <f t="shared" si="15"/>
        <v>24334543000</v>
      </c>
      <c r="Q16" s="210">
        <f t="shared" si="15"/>
        <v>14905738000</v>
      </c>
      <c r="R16" s="210">
        <f t="shared" si="15"/>
        <v>0</v>
      </c>
      <c r="S16" s="210">
        <f t="shared" si="15"/>
        <v>25000000</v>
      </c>
      <c r="T16" s="210">
        <f t="shared" si="15"/>
        <v>4299209915</v>
      </c>
      <c r="U16" s="210">
        <f t="shared" si="15"/>
        <v>4186383495</v>
      </c>
      <c r="V16" s="210">
        <f t="shared" si="15"/>
        <v>324622055</v>
      </c>
      <c r="W16" s="210">
        <f t="shared" si="15"/>
        <v>568684734</v>
      </c>
      <c r="X16" s="210">
        <f t="shared" si="15"/>
        <v>0</v>
      </c>
      <c r="Y16" s="210">
        <f t="shared" si="15"/>
        <v>2208091990</v>
      </c>
      <c r="Z16" s="210">
        <f t="shared" si="15"/>
        <v>284105679</v>
      </c>
      <c r="AA16" s="210">
        <f t="shared" si="15"/>
        <v>378602769</v>
      </c>
      <c r="AB16" s="210">
        <f t="shared" si="15"/>
        <v>131432362</v>
      </c>
      <c r="AC16" s="210">
        <f t="shared" si="15"/>
        <v>360698809</v>
      </c>
      <c r="AD16" s="210">
        <f t="shared" si="15"/>
        <v>0</v>
      </c>
      <c r="AE16" s="210">
        <f t="shared" si="15"/>
        <v>390433932</v>
      </c>
      <c r="AF16" s="210">
        <f t="shared" si="15"/>
        <v>0</v>
      </c>
      <c r="AG16" s="210">
        <f t="shared" si="15"/>
        <v>84839300</v>
      </c>
      <c r="AH16" s="210">
        <f t="shared" si="15"/>
        <v>565870000</v>
      </c>
      <c r="AI16" s="210">
        <f t="shared" si="15"/>
        <v>512385000</v>
      </c>
      <c r="AJ16" s="210">
        <f t="shared" si="15"/>
        <v>64619976</v>
      </c>
      <c r="AK16" s="210">
        <f t="shared" si="15"/>
        <v>40209311</v>
      </c>
      <c r="AL16" s="210">
        <f t="shared" si="15"/>
        <v>0</v>
      </c>
      <c r="AM16" s="210">
        <f t="shared" si="15"/>
        <v>2270623228</v>
      </c>
      <c r="AN16" s="210">
        <f t="shared" si="15"/>
        <v>4617472072</v>
      </c>
      <c r="AO16" s="210">
        <f t="shared" si="15"/>
        <v>5257591060</v>
      </c>
      <c r="AP16" s="210">
        <f t="shared" ref="AP16:AQ16" si="16">+AP14+AP15</f>
        <v>0</v>
      </c>
      <c r="AQ16" s="210">
        <f t="shared" si="16"/>
        <v>376628000</v>
      </c>
      <c r="AR16" s="210">
        <f t="shared" ref="AR16:AS16" si="17">+AR14+AR15</f>
        <v>0</v>
      </c>
      <c r="AS16" s="210">
        <f t="shared" si="17"/>
        <v>77187111</v>
      </c>
      <c r="AT16" s="210">
        <f t="shared" ref="AT16:AU16" si="18">+AT14+AT15</f>
        <v>917028000</v>
      </c>
      <c r="AU16" s="210">
        <f t="shared" si="18"/>
        <v>1437313000</v>
      </c>
      <c r="AV16" s="210">
        <f t="shared" ref="AV16:AW16" si="19">+AV14+AV15</f>
        <v>649404396</v>
      </c>
      <c r="AW16" s="210">
        <f t="shared" si="19"/>
        <v>677730026</v>
      </c>
      <c r="AX16" s="210">
        <f t="shared" ref="AX16:AY16" si="20">+AX14+AX15</f>
        <v>2075540346</v>
      </c>
      <c r="AY16" s="210">
        <f t="shared" si="20"/>
        <v>2193150879</v>
      </c>
      <c r="AZ16" s="210">
        <f t="shared" ref="AZ16:BA16" si="21">+AZ14+AZ15</f>
        <v>30030000</v>
      </c>
      <c r="BA16" s="210">
        <f t="shared" si="21"/>
        <v>103598997</v>
      </c>
      <c r="BB16" s="210">
        <f t="shared" ref="BB16:BC16" si="22">+BB14+BB15</f>
        <v>0</v>
      </c>
      <c r="BC16" s="210">
        <f t="shared" si="22"/>
        <v>865397293</v>
      </c>
      <c r="BD16" s="210">
        <f t="shared" ref="BD16:BE16" si="23">+BD14+BD15</f>
        <v>609097620</v>
      </c>
      <c r="BE16" s="210">
        <f t="shared" si="23"/>
        <v>589549067</v>
      </c>
      <c r="BF16" s="210">
        <f t="shared" ref="BF16:BG16" si="24">+BF14+BF15</f>
        <v>435290236</v>
      </c>
      <c r="BG16" s="210">
        <f t="shared" si="24"/>
        <v>328979072</v>
      </c>
      <c r="BH16" s="210">
        <f t="shared" ref="BH16:BI16" si="25">+BH14+BH15</f>
        <v>0</v>
      </c>
      <c r="BI16" s="210">
        <f t="shared" si="25"/>
        <v>170110784</v>
      </c>
      <c r="BJ16" s="210">
        <f>+BJ14+BJ15</f>
        <v>75336069128</v>
      </c>
      <c r="BK16" s="210">
        <f>+BK14+BK15</f>
        <v>69421245115</v>
      </c>
    </row>
    <row r="17" spans="1:63" x14ac:dyDescent="0.2">
      <c r="A17" s="218" t="s">
        <v>48</v>
      </c>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row>
    <row r="18" spans="1:63" x14ac:dyDescent="0.2">
      <c r="A18" s="214" t="s">
        <v>94</v>
      </c>
      <c r="B18" s="213"/>
      <c r="C18" s="213">
        <v>170000000</v>
      </c>
      <c r="D18" s="213">
        <v>1500000000</v>
      </c>
      <c r="E18" s="213">
        <v>1500000000</v>
      </c>
      <c r="F18" s="213">
        <v>12409591000</v>
      </c>
      <c r="G18" s="213">
        <v>12409591000</v>
      </c>
      <c r="H18" s="213">
        <v>184000000</v>
      </c>
      <c r="I18" s="213">
        <v>722678400</v>
      </c>
      <c r="J18" s="213"/>
      <c r="K18" s="213">
        <v>360000000</v>
      </c>
      <c r="L18" s="213">
        <v>430000000</v>
      </c>
      <c r="M18" s="213">
        <v>430000000</v>
      </c>
      <c r="N18" s="213"/>
      <c r="O18" s="213">
        <v>150000000</v>
      </c>
      <c r="P18" s="213">
        <v>2600000000</v>
      </c>
      <c r="Q18" s="213">
        <v>2676086000</v>
      </c>
      <c r="R18" s="213"/>
      <c r="S18" s="213">
        <v>160000000</v>
      </c>
      <c r="T18" s="213">
        <v>303078000</v>
      </c>
      <c r="U18" s="213">
        <v>303078000</v>
      </c>
      <c r="V18" s="213">
        <v>441000000</v>
      </c>
      <c r="W18" s="213">
        <v>441000000</v>
      </c>
      <c r="X18" s="213"/>
      <c r="Y18" s="213">
        <v>154500000</v>
      </c>
      <c r="Z18" s="213">
        <v>168000000</v>
      </c>
      <c r="AA18" s="213">
        <v>168000000</v>
      </c>
      <c r="AB18" s="213">
        <v>80000000</v>
      </c>
      <c r="AC18" s="213">
        <v>80000000</v>
      </c>
      <c r="AD18" s="213"/>
      <c r="AE18" s="213">
        <v>102016000</v>
      </c>
      <c r="AF18" s="209"/>
      <c r="AG18" s="209">
        <v>417000000</v>
      </c>
      <c r="AH18" s="209">
        <v>900000</v>
      </c>
      <c r="AI18" s="209">
        <v>900000</v>
      </c>
      <c r="AJ18" s="209">
        <v>400000000</v>
      </c>
      <c r="AK18" s="209">
        <v>400000000</v>
      </c>
      <c r="AL18" s="213"/>
      <c r="AM18" s="213">
        <v>800000000</v>
      </c>
      <c r="AN18" s="209">
        <v>50000000</v>
      </c>
      <c r="AO18" s="209">
        <v>50000000</v>
      </c>
      <c r="AP18" s="209"/>
      <c r="AQ18" s="209">
        <v>390800000</v>
      </c>
      <c r="AR18" s="209"/>
      <c r="AS18" s="209">
        <v>75000000</v>
      </c>
      <c r="AT18" s="209">
        <v>6326060000</v>
      </c>
      <c r="AU18" s="209">
        <v>6326060000</v>
      </c>
      <c r="AV18" s="209">
        <v>155000000</v>
      </c>
      <c r="AW18" s="209">
        <v>155000000</v>
      </c>
      <c r="AX18" s="209">
        <v>1000000000</v>
      </c>
      <c r="AY18" s="209">
        <v>1000000000</v>
      </c>
      <c r="AZ18" s="209">
        <v>483000000</v>
      </c>
      <c r="BA18" s="209">
        <v>483000000</v>
      </c>
      <c r="BB18" s="209"/>
      <c r="BC18" s="209">
        <v>506063000</v>
      </c>
      <c r="BD18" s="209">
        <v>420000000</v>
      </c>
      <c r="BE18" s="209">
        <v>420000000</v>
      </c>
      <c r="BF18" s="209">
        <v>500000000</v>
      </c>
      <c r="BG18" s="209">
        <v>500000000</v>
      </c>
      <c r="BH18" s="209"/>
      <c r="BI18" s="209">
        <v>10999455</v>
      </c>
      <c r="BJ18" s="209">
        <f t="shared" ref="BJ18:BJ32" si="26">+B18+D18+F18+H18+J18+L18+N18+P18+R18+T18+V18+X18+Z18+AB18+AD18+AF18+AH18+AJ18+AL18+AN18+AP18+AR18+AT18+AV18+AX18+AZ18+BB18+BD18+BF18+BH18</f>
        <v>27450629000</v>
      </c>
      <c r="BK18" s="209">
        <f t="shared" ref="BK18:BK32" si="27">+C18+E18+G18+I18+K18+M18+O18+Q18+S18+U18+W18+Y18+AA18+AC18+AE18+AG18+AI18+AK18+AM18+AO18+AQ18+AS18+AU18+AW18+AY18+BA18+BC18+BE18+BG18+BI18</f>
        <v>31361771855</v>
      </c>
    </row>
    <row r="19" spans="1:63" x14ac:dyDescent="0.2">
      <c r="A19" s="214" t="s">
        <v>182</v>
      </c>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09"/>
      <c r="AG19" s="209"/>
      <c r="AH19" s="209"/>
      <c r="AI19" s="209"/>
      <c r="AJ19" s="209"/>
      <c r="AK19" s="209"/>
      <c r="AL19" s="213"/>
      <c r="AM19" s="213"/>
      <c r="AN19" s="209"/>
      <c r="AO19" s="209"/>
      <c r="AP19" s="209"/>
      <c r="AQ19" s="209"/>
      <c r="AR19" s="209"/>
      <c r="AS19" s="209"/>
      <c r="AT19" s="209"/>
      <c r="AU19" s="209"/>
      <c r="AV19" s="209"/>
      <c r="AW19" s="209"/>
      <c r="AX19" s="209">
        <v>50800742</v>
      </c>
      <c r="AY19" s="209">
        <v>50800742</v>
      </c>
      <c r="AZ19" s="209"/>
      <c r="BA19" s="209"/>
      <c r="BB19" s="209"/>
      <c r="BC19" s="209"/>
      <c r="BD19" s="209"/>
      <c r="BE19" s="209"/>
      <c r="BF19" s="209"/>
      <c r="BG19" s="209"/>
      <c r="BH19" s="209"/>
      <c r="BI19" s="209"/>
      <c r="BJ19" s="209">
        <f t="shared" si="26"/>
        <v>50800742</v>
      </c>
      <c r="BK19" s="209">
        <f t="shared" si="27"/>
        <v>50800742</v>
      </c>
    </row>
    <row r="20" spans="1:63" x14ac:dyDescent="0.2">
      <c r="A20" s="214" t="s">
        <v>181</v>
      </c>
      <c r="B20" s="213"/>
      <c r="C20" s="213"/>
      <c r="D20" s="213"/>
      <c r="E20" s="213"/>
      <c r="F20" s="213"/>
      <c r="G20" s="213"/>
      <c r="H20" s="213"/>
      <c r="I20" s="213"/>
      <c r="J20" s="213"/>
      <c r="K20" s="213"/>
      <c r="L20" s="213"/>
      <c r="M20" s="213"/>
      <c r="N20" s="213"/>
      <c r="O20" s="213"/>
      <c r="P20" s="213">
        <v>100000000</v>
      </c>
      <c r="Q20" s="213">
        <v>100000000</v>
      </c>
      <c r="R20" s="213"/>
      <c r="S20" s="213"/>
      <c r="T20" s="213"/>
      <c r="U20" s="213"/>
      <c r="V20" s="213"/>
      <c r="W20" s="213"/>
      <c r="X20" s="213"/>
      <c r="Y20" s="213"/>
      <c r="Z20" s="213"/>
      <c r="AA20" s="213"/>
      <c r="AB20" s="213"/>
      <c r="AC20" s="213"/>
      <c r="AD20" s="213"/>
      <c r="AE20" s="213"/>
      <c r="AF20" s="209"/>
      <c r="AG20" s="209"/>
      <c r="AH20" s="209"/>
      <c r="AI20" s="209"/>
      <c r="AJ20" s="209"/>
      <c r="AK20" s="209"/>
      <c r="AL20" s="213"/>
      <c r="AM20" s="213"/>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f t="shared" si="26"/>
        <v>100000000</v>
      </c>
      <c r="BK20" s="209">
        <f t="shared" si="27"/>
        <v>100000000</v>
      </c>
    </row>
    <row r="21" spans="1:63" s="216" customFormat="1" x14ac:dyDescent="0.2">
      <c r="A21" s="214" t="s">
        <v>50</v>
      </c>
      <c r="B21" s="213"/>
      <c r="C21" s="213">
        <v>73239770</v>
      </c>
      <c r="D21" s="213">
        <v>563996201</v>
      </c>
      <c r="E21" s="213">
        <v>744600485</v>
      </c>
      <c r="F21" s="213"/>
      <c r="G21" s="213"/>
      <c r="H21" s="213">
        <v>92612789</v>
      </c>
      <c r="I21" s="213">
        <v>92612789</v>
      </c>
      <c r="J21" s="213"/>
      <c r="K21" s="213">
        <v>118550653</v>
      </c>
      <c r="L21" s="213">
        <v>100000</v>
      </c>
      <c r="M21" s="213">
        <v>100000</v>
      </c>
      <c r="N21" s="213"/>
      <c r="O21" s="213">
        <v>51091202</v>
      </c>
      <c r="P21" s="213">
        <v>12502683000</v>
      </c>
      <c r="Q21" s="213">
        <v>16655423000</v>
      </c>
      <c r="R21" s="213"/>
      <c r="S21" s="213"/>
      <c r="T21" s="213">
        <v>269997223</v>
      </c>
      <c r="U21" s="213">
        <v>269997223</v>
      </c>
      <c r="V21" s="213"/>
      <c r="W21" s="213"/>
      <c r="X21" s="213"/>
      <c r="Y21" s="213">
        <v>1504955360</v>
      </c>
      <c r="Z21" s="213"/>
      <c r="AA21" s="213"/>
      <c r="AB21" s="213"/>
      <c r="AC21" s="213"/>
      <c r="AD21" s="213"/>
      <c r="AE21" s="213"/>
      <c r="AF21" s="209"/>
      <c r="AG21" s="209"/>
      <c r="AH21" s="209">
        <v>900000</v>
      </c>
      <c r="AI21" s="209">
        <v>900000</v>
      </c>
      <c r="AJ21" s="209"/>
      <c r="AK21" s="209"/>
      <c r="AL21" s="213"/>
      <c r="AM21" s="213">
        <v>5894881</v>
      </c>
      <c r="AN21" s="209">
        <v>25000000</v>
      </c>
      <c r="AO21" s="209">
        <v>25000000</v>
      </c>
      <c r="AP21" s="209"/>
      <c r="AQ21" s="209">
        <v>14622000</v>
      </c>
      <c r="AR21" s="209"/>
      <c r="AS21" s="209">
        <v>37500000</v>
      </c>
      <c r="AT21" s="209">
        <v>223440000</v>
      </c>
      <c r="AU21" s="209">
        <v>286963000</v>
      </c>
      <c r="AV21" s="209">
        <v>23116921</v>
      </c>
      <c r="AW21" s="209">
        <v>23116921</v>
      </c>
      <c r="AX21" s="209"/>
      <c r="AY21" s="209"/>
      <c r="AZ21" s="209">
        <v>45800000</v>
      </c>
      <c r="BA21" s="209">
        <v>45800000</v>
      </c>
      <c r="BB21" s="209"/>
      <c r="BC21" s="209">
        <v>65369645</v>
      </c>
      <c r="BD21" s="209">
        <v>127468161</v>
      </c>
      <c r="BE21" s="209">
        <v>127468161</v>
      </c>
      <c r="BF21" s="209">
        <v>10795560</v>
      </c>
      <c r="BG21" s="209">
        <v>10795560</v>
      </c>
      <c r="BH21" s="209"/>
      <c r="BI21" s="209">
        <v>10110885</v>
      </c>
      <c r="BJ21" s="209">
        <f t="shared" si="26"/>
        <v>13885909855</v>
      </c>
      <c r="BK21" s="209">
        <f t="shared" si="27"/>
        <v>20164111535</v>
      </c>
    </row>
    <row r="22" spans="1:63" s="216" customFormat="1" x14ac:dyDescent="0.2">
      <c r="A22" s="214" t="s">
        <v>95</v>
      </c>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v>1482267</v>
      </c>
      <c r="AC22" s="213">
        <v>1482267</v>
      </c>
      <c r="AD22" s="213"/>
      <c r="AE22" s="213"/>
      <c r="AF22" s="209"/>
      <c r="AG22" s="209"/>
      <c r="AH22" s="209"/>
      <c r="AI22" s="209"/>
      <c r="AJ22" s="209"/>
      <c r="AK22" s="209"/>
      <c r="AL22" s="213"/>
      <c r="AM22" s="213"/>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f t="shared" si="26"/>
        <v>1482267</v>
      </c>
      <c r="BK22" s="209">
        <f t="shared" si="27"/>
        <v>1482267</v>
      </c>
    </row>
    <row r="23" spans="1:63" x14ac:dyDescent="0.2">
      <c r="A23" s="214" t="s">
        <v>51</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f t="shared" si="26"/>
        <v>0</v>
      </c>
      <c r="BK23" s="209">
        <f t="shared" si="27"/>
        <v>0</v>
      </c>
    </row>
    <row r="24" spans="1:63" s="216" customFormat="1" x14ac:dyDescent="0.2">
      <c r="A24" s="214" t="s">
        <v>52</v>
      </c>
      <c r="B24" s="209"/>
      <c r="C24" s="209"/>
      <c r="D24" s="209"/>
      <c r="E24" s="209"/>
      <c r="F24" s="209">
        <v>31686319000</v>
      </c>
      <c r="G24" s="209">
        <v>31686319000</v>
      </c>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f t="shared" si="26"/>
        <v>31686319000</v>
      </c>
      <c r="BK24" s="209">
        <f t="shared" si="27"/>
        <v>31686319000</v>
      </c>
    </row>
    <row r="25" spans="1:63" s="216" customFormat="1" x14ac:dyDescent="0.2">
      <c r="A25" s="214" t="s">
        <v>53</v>
      </c>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v>197512711</v>
      </c>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09">
        <v>80196240</v>
      </c>
      <c r="BD25" s="211"/>
      <c r="BE25" s="209"/>
      <c r="BF25" s="211"/>
      <c r="BG25" s="209"/>
      <c r="BH25" s="211"/>
      <c r="BI25" s="209"/>
      <c r="BJ25" s="209">
        <f t="shared" si="26"/>
        <v>0</v>
      </c>
      <c r="BK25" s="209">
        <f t="shared" si="27"/>
        <v>277708951</v>
      </c>
    </row>
    <row r="26" spans="1:63" x14ac:dyDescent="0.2">
      <c r="A26" s="214" t="s">
        <v>54</v>
      </c>
      <c r="B26" s="213"/>
      <c r="C26" s="213">
        <v>201033516</v>
      </c>
      <c r="D26" s="213">
        <v>1806042838</v>
      </c>
      <c r="E26" s="213">
        <v>2643520739</v>
      </c>
      <c r="F26" s="213">
        <v>-934467000</v>
      </c>
      <c r="G26" s="213">
        <v>7655835000</v>
      </c>
      <c r="H26" s="213">
        <v>1154551184</v>
      </c>
      <c r="I26" s="213">
        <v>-1542606110</v>
      </c>
      <c r="J26" s="213"/>
      <c r="K26" s="213">
        <v>-37816547</v>
      </c>
      <c r="L26" s="213">
        <v>-23807089</v>
      </c>
      <c r="M26" s="213">
        <v>10438406</v>
      </c>
      <c r="N26" s="213"/>
      <c r="O26" s="213">
        <v>20333447</v>
      </c>
      <c r="P26" s="213">
        <f>+P51</f>
        <v>4152740000</v>
      </c>
      <c r="Q26" s="213">
        <f>+Q51</f>
        <v>6274223000</v>
      </c>
      <c r="R26" s="213"/>
      <c r="S26" s="213">
        <v>7554000</v>
      </c>
      <c r="T26" s="213">
        <v>382719498</v>
      </c>
      <c r="U26" s="213">
        <v>314568205</v>
      </c>
      <c r="V26" s="213">
        <v>175593876</v>
      </c>
      <c r="W26" s="213">
        <v>106321985</v>
      </c>
      <c r="X26" s="213"/>
      <c r="Y26" s="213">
        <v>212972000</v>
      </c>
      <c r="Z26" s="213">
        <v>64736733</v>
      </c>
      <c r="AA26" s="213">
        <v>189933131</v>
      </c>
      <c r="AB26" s="213">
        <v>11006212</v>
      </c>
      <c r="AC26" s="213">
        <v>55040998</v>
      </c>
      <c r="AD26" s="209"/>
      <c r="AE26" s="213">
        <v>113732483</v>
      </c>
      <c r="AF26" s="209"/>
      <c r="AG26" s="209">
        <v>4324540</v>
      </c>
      <c r="AH26" s="209">
        <v>81342000</v>
      </c>
      <c r="AI26" s="209">
        <v>109812000</v>
      </c>
      <c r="AJ26" s="209">
        <v>63334520</v>
      </c>
      <c r="AK26" s="209">
        <v>72482478</v>
      </c>
      <c r="AL26" s="209"/>
      <c r="AM26" s="209">
        <v>441067502</v>
      </c>
      <c r="AN26" s="209">
        <v>680846907</v>
      </c>
      <c r="AO26" s="209">
        <v>683598222</v>
      </c>
      <c r="AP26" s="209"/>
      <c r="AQ26" s="209">
        <v>340000</v>
      </c>
      <c r="AR26" s="209"/>
      <c r="AS26" s="209">
        <v>1238289575</v>
      </c>
      <c r="AT26" s="209">
        <v>635230000</v>
      </c>
      <c r="AU26" s="209">
        <v>295294000</v>
      </c>
      <c r="AV26" s="209">
        <v>-1828652</v>
      </c>
      <c r="AW26" s="209">
        <v>2391846</v>
      </c>
      <c r="AX26" s="209">
        <v>2449046</v>
      </c>
      <c r="AY26" s="209">
        <v>-126930596</v>
      </c>
      <c r="AZ26" s="209">
        <v>24630000</v>
      </c>
      <c r="BA26" s="209">
        <v>81438970</v>
      </c>
      <c r="BB26" s="209"/>
      <c r="BC26" s="209">
        <v>204825067</v>
      </c>
      <c r="BD26" s="209">
        <v>151540670</v>
      </c>
      <c r="BE26" s="209">
        <v>168744300</v>
      </c>
      <c r="BF26" s="209">
        <v>118754028</v>
      </c>
      <c r="BG26" s="209">
        <v>100765568</v>
      </c>
      <c r="BH26" s="209"/>
      <c r="BI26" s="209">
        <v>18752000</v>
      </c>
      <c r="BJ26" s="209">
        <f t="shared" si="26"/>
        <v>8545414771</v>
      </c>
      <c r="BK26" s="209">
        <f t="shared" si="27"/>
        <v>19520279725</v>
      </c>
    </row>
    <row r="27" spans="1:63" x14ac:dyDescent="0.2">
      <c r="A27" s="214" t="s">
        <v>55</v>
      </c>
      <c r="B27" s="213"/>
      <c r="C27" s="213">
        <v>501315498</v>
      </c>
      <c r="D27" s="213">
        <v>3151472697</v>
      </c>
      <c r="E27" s="213">
        <v>4776911251</v>
      </c>
      <c r="F27" s="213">
        <v>-2138266000</v>
      </c>
      <c r="G27" s="213">
        <v>-3072733000</v>
      </c>
      <c r="H27" s="213">
        <v>293847518</v>
      </c>
      <c r="I27" s="213">
        <v>1448398703</v>
      </c>
      <c r="J27" s="213"/>
      <c r="K27" s="213">
        <v>407493990</v>
      </c>
      <c r="L27" s="213">
        <v>-210336936</v>
      </c>
      <c r="M27" s="213">
        <v>-234144024</v>
      </c>
      <c r="N27" s="213"/>
      <c r="O27" s="213">
        <v>-66673537</v>
      </c>
      <c r="P27" s="213"/>
      <c r="Q27" s="213"/>
      <c r="R27" s="213"/>
      <c r="S27" s="213">
        <v>788903900</v>
      </c>
      <c r="T27" s="213">
        <v>5868671295</v>
      </c>
      <c r="U27" s="213">
        <v>5877178694</v>
      </c>
      <c r="V27" s="213">
        <v>292356046</v>
      </c>
      <c r="W27" s="213">
        <v>467949922</v>
      </c>
      <c r="X27" s="213"/>
      <c r="Y27" s="213">
        <v>2705424929</v>
      </c>
      <c r="Z27" s="213">
        <v>764245035</v>
      </c>
      <c r="AA27" s="213">
        <v>828981768</v>
      </c>
      <c r="AB27" s="213">
        <v>288165717</v>
      </c>
      <c r="AC27" s="213">
        <v>299171790</v>
      </c>
      <c r="AD27" s="213"/>
      <c r="AE27" s="213">
        <v>795446671</v>
      </c>
      <c r="AF27" s="209"/>
      <c r="AG27" s="209">
        <v>1887846</v>
      </c>
      <c r="AH27" s="209">
        <v>252429000</v>
      </c>
      <c r="AI27" s="209">
        <v>81342000</v>
      </c>
      <c r="AJ27" s="209">
        <v>234232714</v>
      </c>
      <c r="AK27" s="209">
        <v>240566166</v>
      </c>
      <c r="AL27" s="213"/>
      <c r="AM27" s="213">
        <v>608350822</v>
      </c>
      <c r="AN27" s="209">
        <v>2653255441</v>
      </c>
      <c r="AO27" s="209">
        <v>3334102348</v>
      </c>
      <c r="AP27" s="209"/>
      <c r="AQ27" s="209">
        <v>-176741000</v>
      </c>
      <c r="AR27" s="209"/>
      <c r="AS27" s="209">
        <v>2425474530</v>
      </c>
      <c r="AT27" s="209">
        <v>1146431000</v>
      </c>
      <c r="AU27" s="209">
        <v>1718138000</v>
      </c>
      <c r="AV27" s="209">
        <v>-548034320</v>
      </c>
      <c r="AW27" s="209">
        <f>8583640-558446611</f>
        <v>-549862971</v>
      </c>
      <c r="AX27" s="209">
        <v>331435516</v>
      </c>
      <c r="AY27" s="209">
        <v>333884562</v>
      </c>
      <c r="AZ27" s="209">
        <v>660321000</v>
      </c>
      <c r="BA27" s="209">
        <v>684951000</v>
      </c>
      <c r="BB27" s="209"/>
      <c r="BC27" s="209">
        <v>148683700</v>
      </c>
      <c r="BD27" s="209">
        <v>250455099</v>
      </c>
      <c r="BE27" s="209">
        <v>401995769</v>
      </c>
      <c r="BF27" s="209">
        <v>1024018064</v>
      </c>
      <c r="BG27" s="209">
        <v>1142772093</v>
      </c>
      <c r="BH27" s="209"/>
      <c r="BI27" s="209">
        <v>166843436</v>
      </c>
      <c r="BJ27" s="209">
        <f t="shared" si="26"/>
        <v>14314698886</v>
      </c>
      <c r="BK27" s="209">
        <f t="shared" si="27"/>
        <v>26086014856</v>
      </c>
    </row>
    <row r="28" spans="1:63" x14ac:dyDescent="0.2">
      <c r="A28" s="214" t="s">
        <v>56</v>
      </c>
      <c r="B28" s="213"/>
      <c r="C28" s="213"/>
      <c r="D28" s="213"/>
      <c r="E28" s="213"/>
      <c r="F28" s="213"/>
      <c r="G28" s="213"/>
      <c r="H28" s="213"/>
      <c r="I28" s="213"/>
      <c r="J28" s="213"/>
      <c r="K28" s="213"/>
      <c r="L28" s="213">
        <v>-27155190</v>
      </c>
      <c r="M28" s="213">
        <v>-27155190</v>
      </c>
      <c r="N28" s="213"/>
      <c r="O28" s="213"/>
      <c r="P28" s="213">
        <v>8008090000</v>
      </c>
      <c r="Q28" s="213">
        <v>8008090000</v>
      </c>
      <c r="R28" s="213"/>
      <c r="S28" s="213"/>
      <c r="T28" s="213"/>
      <c r="U28" s="213"/>
      <c r="V28" s="213"/>
      <c r="W28" s="213"/>
      <c r="X28" s="213"/>
      <c r="Y28" s="213"/>
      <c r="Z28" s="213"/>
      <c r="AA28" s="213"/>
      <c r="AB28" s="213"/>
      <c r="AC28" s="213"/>
      <c r="AD28" s="213"/>
      <c r="AE28" s="213"/>
      <c r="AF28" s="209"/>
      <c r="AG28" s="209"/>
      <c r="AH28" s="209"/>
      <c r="AI28" s="209"/>
      <c r="AJ28" s="209"/>
      <c r="AK28" s="209"/>
      <c r="AL28" s="213"/>
      <c r="AM28" s="213">
        <v>432000000</v>
      </c>
      <c r="AN28" s="209">
        <v>152962603</v>
      </c>
      <c r="AO28" s="209">
        <v>152962603</v>
      </c>
      <c r="AP28" s="209"/>
      <c r="AQ28" s="209"/>
      <c r="AR28" s="209"/>
      <c r="AS28" s="209"/>
      <c r="AT28" s="209">
        <v>-26730000</v>
      </c>
      <c r="AU28" s="209">
        <v>-26730000</v>
      </c>
      <c r="AV28" s="209">
        <v>55913029</v>
      </c>
      <c r="AW28" s="209">
        <v>67661029</v>
      </c>
      <c r="AX28" s="209"/>
      <c r="AY28" s="209"/>
      <c r="AZ28" s="209"/>
      <c r="BA28" s="209"/>
      <c r="BB28" s="209"/>
      <c r="BC28" s="209">
        <v>110452559</v>
      </c>
      <c r="BD28" s="209"/>
      <c r="BE28" s="209"/>
      <c r="BF28" s="209"/>
      <c r="BG28" s="209"/>
      <c r="BH28" s="209"/>
      <c r="BI28" s="209"/>
      <c r="BJ28" s="209">
        <f t="shared" si="26"/>
        <v>8163080442</v>
      </c>
      <c r="BK28" s="209">
        <f t="shared" si="27"/>
        <v>8717281001</v>
      </c>
    </row>
    <row r="29" spans="1:63" x14ac:dyDescent="0.2">
      <c r="A29" s="214" t="s">
        <v>57</v>
      </c>
      <c r="B29" s="209"/>
      <c r="C29" s="209"/>
      <c r="D29" s="209"/>
      <c r="E29" s="209"/>
      <c r="F29" s="209"/>
      <c r="G29" s="209"/>
      <c r="H29" s="209"/>
      <c r="I29" s="209"/>
      <c r="J29" s="209"/>
      <c r="K29" s="209">
        <v>361095025</v>
      </c>
      <c r="L29" s="209">
        <v>261283799</v>
      </c>
      <c r="M29" s="209">
        <v>261283799</v>
      </c>
      <c r="N29" s="209"/>
      <c r="O29" s="209"/>
      <c r="P29" s="209"/>
      <c r="Q29" s="209"/>
      <c r="R29" s="209"/>
      <c r="S29" s="209"/>
      <c r="T29" s="209"/>
      <c r="U29" s="209"/>
      <c r="V29" s="209"/>
      <c r="W29" s="209"/>
      <c r="X29" s="209"/>
      <c r="Y29" s="209"/>
      <c r="Z29" s="209"/>
      <c r="AA29" s="209"/>
      <c r="AB29" s="209">
        <v>752134550</v>
      </c>
      <c r="AC29" s="209">
        <v>752134550</v>
      </c>
      <c r="AD29" s="209"/>
      <c r="AE29" s="209"/>
      <c r="AF29" s="209"/>
      <c r="AG29" s="209"/>
      <c r="AH29" s="209"/>
      <c r="AI29" s="209"/>
      <c r="AJ29" s="209"/>
      <c r="AK29" s="209"/>
      <c r="AL29" s="209"/>
      <c r="AM29" s="209">
        <v>30500768</v>
      </c>
      <c r="AN29" s="209"/>
      <c r="AO29" s="209"/>
      <c r="AP29" s="209"/>
      <c r="AQ29" s="209"/>
      <c r="AR29" s="209"/>
      <c r="AS29" s="209"/>
      <c r="AT29" s="209"/>
      <c r="AU29" s="209"/>
      <c r="AV29" s="209"/>
      <c r="AW29" s="209"/>
      <c r="AX29" s="209">
        <v>1621366983</v>
      </c>
      <c r="AY29" s="209">
        <v>1621366983</v>
      </c>
      <c r="AZ29" s="209"/>
      <c r="BA29" s="209"/>
      <c r="BB29" s="209"/>
      <c r="BC29" s="209"/>
      <c r="BD29" s="209"/>
      <c r="BE29" s="209"/>
      <c r="BF29" s="209"/>
      <c r="BG29" s="209"/>
      <c r="BH29" s="209"/>
      <c r="BI29" s="209">
        <v>54924256</v>
      </c>
      <c r="BJ29" s="209">
        <f t="shared" si="26"/>
        <v>2634785332</v>
      </c>
      <c r="BK29" s="209">
        <f t="shared" si="27"/>
        <v>3081305381</v>
      </c>
    </row>
    <row r="30" spans="1:63" x14ac:dyDescent="0.2">
      <c r="A30" s="214" t="s">
        <v>433</v>
      </c>
      <c r="B30" s="209"/>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v>421645712</v>
      </c>
      <c r="BE30" s="209">
        <v>59672879</v>
      </c>
      <c r="BF30" s="209"/>
      <c r="BG30" s="209"/>
      <c r="BH30" s="209"/>
      <c r="BI30" s="209"/>
      <c r="BJ30" s="209">
        <f t="shared" si="26"/>
        <v>421645712</v>
      </c>
      <c r="BK30" s="209">
        <f t="shared" si="27"/>
        <v>59672879</v>
      </c>
    </row>
    <row r="31" spans="1:63" x14ac:dyDescent="0.2">
      <c r="A31" s="214" t="s">
        <v>96</v>
      </c>
      <c r="B31" s="213"/>
      <c r="C31" s="213"/>
      <c r="D31" s="213">
        <v>205142245</v>
      </c>
      <c r="E31" s="213">
        <v>205142245</v>
      </c>
      <c r="F31" s="213"/>
      <c r="G31" s="213"/>
      <c r="H31" s="213"/>
      <c r="I31" s="213"/>
      <c r="J31" s="213"/>
      <c r="K31" s="213"/>
      <c r="L31" s="213"/>
      <c r="M31" s="213"/>
      <c r="N31" s="213"/>
      <c r="O31" s="213"/>
      <c r="P31" s="213"/>
      <c r="Q31" s="213">
        <v>724667000</v>
      </c>
      <c r="R31" s="213"/>
      <c r="S31" s="213"/>
      <c r="T31" s="213">
        <v>440677687</v>
      </c>
      <c r="U31" s="213">
        <v>440677687</v>
      </c>
      <c r="V31" s="213"/>
      <c r="W31" s="213"/>
      <c r="X31" s="213"/>
      <c r="Y31" s="213"/>
      <c r="Z31" s="213"/>
      <c r="AA31" s="213"/>
      <c r="AB31" s="213"/>
      <c r="AC31" s="213"/>
      <c r="AD31" s="213"/>
      <c r="AE31" s="213"/>
      <c r="AF31" s="209"/>
      <c r="AG31" s="209"/>
      <c r="AH31" s="209"/>
      <c r="AI31" s="209"/>
      <c r="AJ31" s="209"/>
      <c r="AK31" s="209"/>
      <c r="AL31" s="213"/>
      <c r="AM31" s="213"/>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f t="shared" si="26"/>
        <v>645819932</v>
      </c>
      <c r="BK31" s="209">
        <f t="shared" si="27"/>
        <v>1370486932</v>
      </c>
    </row>
    <row r="32" spans="1:63" x14ac:dyDescent="0.2">
      <c r="A32" s="214" t="s">
        <v>58</v>
      </c>
      <c r="B32" s="209"/>
      <c r="C32" s="209"/>
      <c r="D32" s="209">
        <v>2365400111</v>
      </c>
      <c r="E32" s="209">
        <v>2365400111</v>
      </c>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f t="shared" si="26"/>
        <v>2365400111</v>
      </c>
      <c r="BK32" s="209">
        <f t="shared" si="27"/>
        <v>2365400111</v>
      </c>
    </row>
    <row r="33" spans="1:63" s="224" customFormat="1" x14ac:dyDescent="0.2">
      <c r="A33" s="223" t="s">
        <v>59</v>
      </c>
      <c r="B33" s="210">
        <f t="shared" ref="B33:AE33" si="28">SUM(B18:B32)</f>
        <v>0</v>
      </c>
      <c r="C33" s="210">
        <f t="shared" si="28"/>
        <v>945588784</v>
      </c>
      <c r="D33" s="210">
        <f t="shared" si="28"/>
        <v>9592054092</v>
      </c>
      <c r="E33" s="210">
        <f t="shared" si="28"/>
        <v>12235574831</v>
      </c>
      <c r="F33" s="210">
        <f t="shared" si="28"/>
        <v>41023177000</v>
      </c>
      <c r="G33" s="210">
        <f t="shared" si="28"/>
        <v>48679012000</v>
      </c>
      <c r="H33" s="210">
        <f t="shared" si="28"/>
        <v>1725011491</v>
      </c>
      <c r="I33" s="210">
        <f t="shared" si="28"/>
        <v>721083782</v>
      </c>
      <c r="J33" s="210">
        <f t="shared" si="28"/>
        <v>0</v>
      </c>
      <c r="K33" s="210">
        <f t="shared" si="28"/>
        <v>1209323121</v>
      </c>
      <c r="L33" s="210">
        <f t="shared" si="28"/>
        <v>430084584</v>
      </c>
      <c r="M33" s="210">
        <f t="shared" si="28"/>
        <v>440522991</v>
      </c>
      <c r="N33" s="210">
        <f t="shared" si="28"/>
        <v>0</v>
      </c>
      <c r="O33" s="210">
        <f t="shared" si="28"/>
        <v>154751112</v>
      </c>
      <c r="P33" s="210">
        <f t="shared" si="28"/>
        <v>27363513000</v>
      </c>
      <c r="Q33" s="210">
        <f t="shared" si="28"/>
        <v>34438489000</v>
      </c>
      <c r="R33" s="210">
        <f t="shared" si="28"/>
        <v>0</v>
      </c>
      <c r="S33" s="210">
        <f t="shared" si="28"/>
        <v>956457900</v>
      </c>
      <c r="T33" s="210">
        <f t="shared" si="28"/>
        <v>7265143703</v>
      </c>
      <c r="U33" s="210">
        <f t="shared" si="28"/>
        <v>7205499809</v>
      </c>
      <c r="V33" s="210">
        <f t="shared" si="28"/>
        <v>908949922</v>
      </c>
      <c r="W33" s="210">
        <f t="shared" si="28"/>
        <v>1015271907</v>
      </c>
      <c r="X33" s="210">
        <f t="shared" si="28"/>
        <v>0</v>
      </c>
      <c r="Y33" s="210">
        <f t="shared" si="28"/>
        <v>4775365000</v>
      </c>
      <c r="Z33" s="210">
        <f t="shared" si="28"/>
        <v>996981768</v>
      </c>
      <c r="AA33" s="210">
        <f t="shared" si="28"/>
        <v>1186914899</v>
      </c>
      <c r="AB33" s="210">
        <f t="shared" si="28"/>
        <v>1132788746</v>
      </c>
      <c r="AC33" s="210">
        <f t="shared" si="28"/>
        <v>1187829605</v>
      </c>
      <c r="AD33" s="210">
        <f t="shared" si="28"/>
        <v>0</v>
      </c>
      <c r="AE33" s="210">
        <f t="shared" si="28"/>
        <v>1011195154</v>
      </c>
      <c r="AF33" s="210">
        <f t="shared" ref="AF33:AK33" si="29">SUM(AF17:AF32)</f>
        <v>0</v>
      </c>
      <c r="AG33" s="210">
        <f t="shared" si="29"/>
        <v>423212386</v>
      </c>
      <c r="AH33" s="210">
        <f t="shared" si="29"/>
        <v>335571000</v>
      </c>
      <c r="AI33" s="210">
        <f t="shared" si="29"/>
        <v>192954000</v>
      </c>
      <c r="AJ33" s="210">
        <f t="shared" si="29"/>
        <v>697567234</v>
      </c>
      <c r="AK33" s="210">
        <f t="shared" si="29"/>
        <v>713048644</v>
      </c>
      <c r="AL33" s="210">
        <f>SUM(AL18:AL32)</f>
        <v>0</v>
      </c>
      <c r="AM33" s="210">
        <f>SUM(AM18:AM32)</f>
        <v>2317813973</v>
      </c>
      <c r="AN33" s="210">
        <f t="shared" ref="AN33:BC33" si="30">SUM(AN17:AN32)</f>
        <v>3562064951</v>
      </c>
      <c r="AO33" s="210">
        <f t="shared" si="30"/>
        <v>4245663173</v>
      </c>
      <c r="AP33" s="210">
        <f t="shared" si="30"/>
        <v>0</v>
      </c>
      <c r="AQ33" s="210">
        <f t="shared" si="30"/>
        <v>229021000</v>
      </c>
      <c r="AR33" s="210">
        <f t="shared" si="30"/>
        <v>0</v>
      </c>
      <c r="AS33" s="210">
        <f t="shared" si="30"/>
        <v>3776264105</v>
      </c>
      <c r="AT33" s="210">
        <f t="shared" si="30"/>
        <v>8304431000</v>
      </c>
      <c r="AU33" s="210">
        <f t="shared" si="30"/>
        <v>8599725000</v>
      </c>
      <c r="AV33" s="210">
        <f t="shared" si="30"/>
        <v>-315833022</v>
      </c>
      <c r="AW33" s="210">
        <f t="shared" si="30"/>
        <v>-301693175</v>
      </c>
      <c r="AX33" s="210">
        <f t="shared" si="30"/>
        <v>3006052287</v>
      </c>
      <c r="AY33" s="210">
        <f t="shared" si="30"/>
        <v>2879121691</v>
      </c>
      <c r="AZ33" s="210">
        <f t="shared" si="30"/>
        <v>1213751000</v>
      </c>
      <c r="BA33" s="210">
        <f t="shared" si="30"/>
        <v>1295189970</v>
      </c>
      <c r="BB33" s="210">
        <f t="shared" si="30"/>
        <v>0</v>
      </c>
      <c r="BC33" s="210">
        <f t="shared" si="30"/>
        <v>1115590211</v>
      </c>
      <c r="BD33" s="210">
        <f t="shared" ref="BD33:BE33" si="31">SUM(BD17:BD32)</f>
        <v>1371109642</v>
      </c>
      <c r="BE33" s="210">
        <f t="shared" si="31"/>
        <v>1177881109</v>
      </c>
      <c r="BF33" s="210">
        <f t="shared" ref="BF33:BG33" si="32">SUM(BF17:BF32)</f>
        <v>1653567652</v>
      </c>
      <c r="BG33" s="210">
        <f t="shared" si="32"/>
        <v>1754333221</v>
      </c>
      <c r="BH33" s="210">
        <f t="shared" ref="BH33:BI33" si="33">SUM(BH17:BH32)</f>
        <v>0</v>
      </c>
      <c r="BI33" s="210">
        <f t="shared" si="33"/>
        <v>261630032</v>
      </c>
      <c r="BJ33" s="210">
        <f t="shared" ref="BJ33:BK33" si="34">SUM(BJ18:BJ32)</f>
        <v>110265986050</v>
      </c>
      <c r="BK33" s="210">
        <f t="shared" si="34"/>
        <v>144842635235</v>
      </c>
    </row>
    <row r="34" spans="1:63" s="224" customFormat="1" x14ac:dyDescent="0.2">
      <c r="A34" s="223" t="s">
        <v>60</v>
      </c>
      <c r="B34" s="210">
        <f t="shared" ref="B34:AO34" si="35">+B16+B33</f>
        <v>0</v>
      </c>
      <c r="C34" s="210">
        <f t="shared" si="35"/>
        <v>1061878485</v>
      </c>
      <c r="D34" s="210">
        <f t="shared" si="35"/>
        <v>19020783089</v>
      </c>
      <c r="E34" s="210">
        <f t="shared" si="35"/>
        <v>19030914156</v>
      </c>
      <c r="F34" s="210">
        <f t="shared" si="35"/>
        <v>65147178000</v>
      </c>
      <c r="G34" s="210">
        <f t="shared" si="35"/>
        <v>67484208000</v>
      </c>
      <c r="H34" s="210">
        <f t="shared" si="35"/>
        <v>4018690177</v>
      </c>
      <c r="I34" s="210">
        <f t="shared" si="35"/>
        <v>2736059485</v>
      </c>
      <c r="J34" s="210">
        <f t="shared" si="35"/>
        <v>0</v>
      </c>
      <c r="K34" s="210">
        <f t="shared" si="35"/>
        <v>4259187803</v>
      </c>
      <c r="L34" s="210">
        <f t="shared" si="35"/>
        <v>581479372</v>
      </c>
      <c r="M34" s="210">
        <f t="shared" si="35"/>
        <v>607449639</v>
      </c>
      <c r="N34" s="210">
        <f t="shared" si="35"/>
        <v>0</v>
      </c>
      <c r="O34" s="210">
        <f t="shared" si="35"/>
        <v>618478311</v>
      </c>
      <c r="P34" s="210">
        <f t="shared" si="35"/>
        <v>51698056000</v>
      </c>
      <c r="Q34" s="210">
        <f t="shared" si="35"/>
        <v>49344227000</v>
      </c>
      <c r="R34" s="210">
        <f t="shared" si="35"/>
        <v>0</v>
      </c>
      <c r="S34" s="210">
        <f t="shared" si="35"/>
        <v>981457900</v>
      </c>
      <c r="T34" s="210">
        <f t="shared" si="35"/>
        <v>11564353618</v>
      </c>
      <c r="U34" s="210">
        <f t="shared" si="35"/>
        <v>11391883304</v>
      </c>
      <c r="V34" s="210">
        <f t="shared" si="35"/>
        <v>1233571977</v>
      </c>
      <c r="W34" s="210">
        <f t="shared" si="35"/>
        <v>1583956641</v>
      </c>
      <c r="X34" s="210">
        <f t="shared" si="35"/>
        <v>0</v>
      </c>
      <c r="Y34" s="210">
        <f t="shared" si="35"/>
        <v>6983456990</v>
      </c>
      <c r="Z34" s="210">
        <f t="shared" si="35"/>
        <v>1281087447</v>
      </c>
      <c r="AA34" s="210">
        <f t="shared" si="35"/>
        <v>1565517668</v>
      </c>
      <c r="AB34" s="210">
        <f t="shared" si="35"/>
        <v>1264221108</v>
      </c>
      <c r="AC34" s="210">
        <f t="shared" si="35"/>
        <v>1548528414</v>
      </c>
      <c r="AD34" s="210">
        <f t="shared" si="35"/>
        <v>0</v>
      </c>
      <c r="AE34" s="210">
        <f t="shared" si="35"/>
        <v>1401629086</v>
      </c>
      <c r="AF34" s="210">
        <f t="shared" si="35"/>
        <v>0</v>
      </c>
      <c r="AG34" s="210">
        <f t="shared" si="35"/>
        <v>508051686</v>
      </c>
      <c r="AH34" s="210">
        <f t="shared" si="35"/>
        <v>901441000</v>
      </c>
      <c r="AI34" s="210">
        <f t="shared" si="35"/>
        <v>705339000</v>
      </c>
      <c r="AJ34" s="210">
        <f t="shared" si="35"/>
        <v>762187210</v>
      </c>
      <c r="AK34" s="210">
        <f t="shared" si="35"/>
        <v>753257955</v>
      </c>
      <c r="AL34" s="210">
        <f t="shared" si="35"/>
        <v>0</v>
      </c>
      <c r="AM34" s="210">
        <f t="shared" si="35"/>
        <v>4588437201</v>
      </c>
      <c r="AN34" s="210">
        <f t="shared" si="35"/>
        <v>8179537023</v>
      </c>
      <c r="AO34" s="210">
        <f t="shared" si="35"/>
        <v>9503254233</v>
      </c>
      <c r="AP34" s="210">
        <f t="shared" ref="AP34:AQ34" si="36">+AP16+AP33</f>
        <v>0</v>
      </c>
      <c r="AQ34" s="210">
        <f t="shared" si="36"/>
        <v>605649000</v>
      </c>
      <c r="AR34" s="210">
        <f t="shared" ref="AR34:AS34" si="37">+AR16+AR33</f>
        <v>0</v>
      </c>
      <c r="AS34" s="210">
        <f t="shared" si="37"/>
        <v>3853451216</v>
      </c>
      <c r="AT34" s="210">
        <f t="shared" ref="AT34:AU34" si="38">+AT16+AT33</f>
        <v>9221459000</v>
      </c>
      <c r="AU34" s="210">
        <f t="shared" si="38"/>
        <v>10037038000</v>
      </c>
      <c r="AV34" s="210">
        <f t="shared" ref="AV34:AW34" si="39">+AV16+AV33</f>
        <v>333571374</v>
      </c>
      <c r="AW34" s="210">
        <f t="shared" si="39"/>
        <v>376036851</v>
      </c>
      <c r="AX34" s="210">
        <f t="shared" ref="AX34:AY34" si="40">+AX16+AX33</f>
        <v>5081592633</v>
      </c>
      <c r="AY34" s="210">
        <f t="shared" si="40"/>
        <v>5072272570</v>
      </c>
      <c r="AZ34" s="210">
        <f t="shared" ref="AZ34:BA34" si="41">+AZ16+AZ33</f>
        <v>1243781000</v>
      </c>
      <c r="BA34" s="210">
        <f t="shared" si="41"/>
        <v>1398788967</v>
      </c>
      <c r="BB34" s="210">
        <f t="shared" ref="BB34:BC34" si="42">+BB16+BB33</f>
        <v>0</v>
      </c>
      <c r="BC34" s="210">
        <f t="shared" si="42"/>
        <v>1980987504</v>
      </c>
      <c r="BD34" s="210">
        <f t="shared" ref="BD34:BE34" si="43">+BD16+BD33</f>
        <v>1980207262</v>
      </c>
      <c r="BE34" s="210">
        <f t="shared" si="43"/>
        <v>1767430176</v>
      </c>
      <c r="BF34" s="210">
        <f t="shared" ref="BF34:BG34" si="44">+BF16+BF33</f>
        <v>2088857888</v>
      </c>
      <c r="BG34" s="210">
        <f t="shared" si="44"/>
        <v>2083312293</v>
      </c>
      <c r="BH34" s="210">
        <f t="shared" ref="BH34:BI34" si="45">+BH16+BH33</f>
        <v>0</v>
      </c>
      <c r="BI34" s="210">
        <f t="shared" si="45"/>
        <v>431740816</v>
      </c>
      <c r="BJ34" s="210">
        <f>+BJ16+BJ33</f>
        <v>185602055178</v>
      </c>
      <c r="BK34" s="210">
        <f>+BK16+BK33</f>
        <v>214263880350</v>
      </c>
    </row>
    <row r="35" spans="1:63" s="224" customFormat="1" x14ac:dyDescent="0.2">
      <c r="A35" s="232"/>
      <c r="B35" s="233"/>
      <c r="C35" s="233"/>
      <c r="D35" s="233"/>
      <c r="E35" s="233"/>
      <c r="F35" s="233"/>
      <c r="G35" s="233"/>
      <c r="H35" s="233"/>
      <c r="I35" s="233"/>
      <c r="J35" s="233"/>
      <c r="K35" s="233"/>
      <c r="L35" s="233"/>
      <c r="M35" s="233"/>
      <c r="N35" s="233"/>
      <c r="O35" s="233"/>
      <c r="P35" s="233"/>
      <c r="Q35" s="233">
        <v>34438489000</v>
      </c>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row>
    <row r="36" spans="1:63" s="224" customFormat="1" ht="15" x14ac:dyDescent="0.2">
      <c r="A36" s="306" t="s">
        <v>242</v>
      </c>
      <c r="B36" s="233"/>
      <c r="C36" s="233"/>
      <c r="D36" s="233"/>
      <c r="E36" s="233"/>
      <c r="F36" s="233"/>
      <c r="G36" s="233"/>
      <c r="H36" s="233"/>
      <c r="I36" s="233"/>
      <c r="J36" s="233"/>
      <c r="K36" s="233"/>
      <c r="L36" s="233"/>
      <c r="M36" s="233"/>
      <c r="N36" s="233"/>
      <c r="O36" s="233"/>
      <c r="P36" s="233"/>
      <c r="Q36" s="247"/>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row>
    <row r="37" spans="1:63" s="224" customFormat="1" x14ac:dyDescent="0.2">
      <c r="A37" s="216"/>
      <c r="B37" s="233"/>
      <c r="C37" s="233"/>
      <c r="D37" s="233"/>
      <c r="E37" s="233"/>
      <c r="F37" s="233"/>
      <c r="G37" s="233"/>
      <c r="H37" s="233"/>
      <c r="I37" s="233"/>
      <c r="J37" s="233"/>
      <c r="K37" s="233"/>
      <c r="L37" s="233"/>
      <c r="M37" s="233"/>
      <c r="N37" s="233"/>
      <c r="O37" s="233"/>
      <c r="P37" s="233"/>
      <c r="Q37" s="247"/>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row>
    <row r="38" spans="1:63" x14ac:dyDescent="0.2">
      <c r="A38" s="226" t="s">
        <v>61</v>
      </c>
      <c r="B38" s="213"/>
      <c r="C38" s="213">
        <v>1474536148</v>
      </c>
      <c r="D38" s="213">
        <v>24944935446</v>
      </c>
      <c r="E38" s="213">
        <v>34243999625</v>
      </c>
      <c r="F38" s="213">
        <v>23525791000</v>
      </c>
      <c r="G38" s="213">
        <v>67558408000</v>
      </c>
      <c r="H38" s="213">
        <v>6632022437</v>
      </c>
      <c r="I38" s="213">
        <v>4819584200</v>
      </c>
      <c r="J38" s="213"/>
      <c r="K38" s="213">
        <v>6244947998</v>
      </c>
      <c r="L38" s="213">
        <v>417903882</v>
      </c>
      <c r="M38" s="213">
        <v>643559222</v>
      </c>
      <c r="N38" s="213"/>
      <c r="O38" s="213">
        <v>362854228</v>
      </c>
      <c r="P38" s="213">
        <v>46804128000</v>
      </c>
      <c r="Q38" s="213">
        <v>53859788000</v>
      </c>
      <c r="R38" s="213"/>
      <c r="S38" s="213">
        <v>130588000</v>
      </c>
      <c r="T38" s="213">
        <v>7825086617</v>
      </c>
      <c r="U38" s="213">
        <v>8181069380</v>
      </c>
      <c r="V38" s="213">
        <v>1925841650</v>
      </c>
      <c r="W38" s="213">
        <v>3250474623</v>
      </c>
      <c r="X38" s="213"/>
      <c r="Y38" s="213">
        <v>8793827275</v>
      </c>
      <c r="Z38" s="213">
        <v>2974458880</v>
      </c>
      <c r="AA38" s="213">
        <v>3551110093</v>
      </c>
      <c r="AB38" s="213">
        <v>570025124</v>
      </c>
      <c r="AC38" s="213">
        <v>1535362000</v>
      </c>
      <c r="AD38" s="213"/>
      <c r="AE38" s="213">
        <v>2530681072</v>
      </c>
      <c r="AF38" s="235"/>
      <c r="AG38" s="235">
        <v>366858000</v>
      </c>
      <c r="AH38" s="235">
        <v>1494178000</v>
      </c>
      <c r="AI38" s="235">
        <v>1011142000</v>
      </c>
      <c r="AJ38" s="235">
        <v>445959403</v>
      </c>
      <c r="AK38" s="235">
        <v>474749000</v>
      </c>
      <c r="AL38" s="213"/>
      <c r="AM38" s="213">
        <v>6197834585</v>
      </c>
      <c r="AN38" s="235">
        <v>2038464385</v>
      </c>
      <c r="AO38" s="235">
        <v>2273586918</v>
      </c>
      <c r="AP38" s="235"/>
      <c r="AQ38" s="235">
        <v>937024000</v>
      </c>
      <c r="AR38" s="235"/>
      <c r="AS38" s="235">
        <v>6932232896</v>
      </c>
      <c r="AT38" s="235">
        <v>8034055000</v>
      </c>
      <c r="AU38" s="235">
        <v>8878854000</v>
      </c>
      <c r="AV38" s="235">
        <v>515828200</v>
      </c>
      <c r="AW38" s="235">
        <v>552696510</v>
      </c>
      <c r="AX38" s="235">
        <v>755875482</v>
      </c>
      <c r="AY38" s="235">
        <v>556388137</v>
      </c>
      <c r="AZ38" s="235">
        <v>1093895000</v>
      </c>
      <c r="BA38" s="235">
        <v>1770846165</v>
      </c>
      <c r="BB38" s="235"/>
      <c r="BC38" s="235">
        <v>2668173062</v>
      </c>
      <c r="BD38" s="235">
        <v>2112171426</v>
      </c>
      <c r="BE38" s="235">
        <v>2252360195</v>
      </c>
      <c r="BF38" s="235">
        <v>1172579352</v>
      </c>
      <c r="BG38" s="235">
        <v>1207420580</v>
      </c>
      <c r="BH38" s="235"/>
      <c r="BI38" s="235">
        <v>643979000</v>
      </c>
      <c r="BJ38" s="209">
        <f t="shared" ref="BJ38:BJ40" si="46">+B38+D38+F38+H38+J38+L38+N38+P38+R38+T38+V38+X38+Z38+AB38+AD38+AF38+AH38+AJ38+AL38+AN38+AP38+AR38+AT38+AV38+AX38+AZ38+BB38+BD38+BF38+BH38</f>
        <v>133283199284</v>
      </c>
      <c r="BK38" s="209">
        <f t="shared" ref="BK38:BK40" si="47">+C38+E38+G38+I38+K38+M38+O38+Q38+S38+U38+W38+Y38+AA38+AC38+AE38+AG38+AI38+AK38+AM38+AO38+AQ38+AS38+AU38+AW38+AY38+BA38+BC38+BE38+BG38+BI38</f>
        <v>233904934912</v>
      </c>
    </row>
    <row r="39" spans="1:63" x14ac:dyDescent="0.2">
      <c r="A39" s="226" t="s">
        <v>62</v>
      </c>
      <c r="B39" s="213"/>
      <c r="C39" s="213">
        <v>443210550</v>
      </c>
      <c r="D39" s="213">
        <v>17497390806</v>
      </c>
      <c r="E39" s="213">
        <v>23422721392</v>
      </c>
      <c r="F39" s="213">
        <v>19217410000</v>
      </c>
      <c r="G39" s="213">
        <v>54607636000</v>
      </c>
      <c r="H39" s="213">
        <v>4058097528</v>
      </c>
      <c r="I39" s="213">
        <v>5344319030</v>
      </c>
      <c r="J39" s="213"/>
      <c r="K39" s="213">
        <v>4672960391</v>
      </c>
      <c r="L39" s="213"/>
      <c r="M39" s="213"/>
      <c r="N39" s="213"/>
      <c r="O39" s="213">
        <v>215447575</v>
      </c>
      <c r="P39" s="213">
        <v>30837304000</v>
      </c>
      <c r="Q39" s="213">
        <v>31434182000</v>
      </c>
      <c r="R39" s="213"/>
      <c r="S39" s="213">
        <v>69449000</v>
      </c>
      <c r="T39" s="213">
        <v>6269885925</v>
      </c>
      <c r="U39" s="213">
        <v>6527499609</v>
      </c>
      <c r="V39" s="213">
        <v>1428107140</v>
      </c>
      <c r="W39" s="213">
        <v>2775924370</v>
      </c>
      <c r="X39" s="213"/>
      <c r="Y39" s="213">
        <v>3717042756</v>
      </c>
      <c r="Z39" s="213">
        <v>2473187936</v>
      </c>
      <c r="AA39" s="213">
        <v>2793295622</v>
      </c>
      <c r="AB39" s="213">
        <v>372534599</v>
      </c>
      <c r="AC39" s="213">
        <v>1277084482</v>
      </c>
      <c r="AD39" s="213"/>
      <c r="AE39" s="213">
        <v>2125873673</v>
      </c>
      <c r="AF39" s="235"/>
      <c r="AG39" s="235">
        <v>154100000</v>
      </c>
      <c r="AH39" s="235">
        <v>878238000</v>
      </c>
      <c r="AI39" s="235">
        <v>388223000</v>
      </c>
      <c r="AJ39" s="235"/>
      <c r="AK39" s="235"/>
      <c r="AL39" s="213"/>
      <c r="AM39" s="213">
        <f>669953312+4284928575</f>
        <v>4954881887</v>
      </c>
      <c r="AN39" s="235"/>
      <c r="AO39" s="235"/>
      <c r="AP39" s="235"/>
      <c r="AQ39" s="235">
        <v>636808000</v>
      </c>
      <c r="AR39" s="235"/>
      <c r="AS39" s="235"/>
      <c r="AT39" s="235">
        <v>5723587000</v>
      </c>
      <c r="AU39" s="235">
        <v>6975294000</v>
      </c>
      <c r="AV39" s="235">
        <v>408638827</v>
      </c>
      <c r="AW39" s="235">
        <v>410000137</v>
      </c>
      <c r="AX39" s="235">
        <v>567155492</v>
      </c>
      <c r="AY39" s="235">
        <f>488253950+120991410</f>
        <v>609245360</v>
      </c>
      <c r="AZ39" s="235">
        <v>579765000</v>
      </c>
      <c r="BA39" s="235">
        <v>430876165</v>
      </c>
      <c r="BB39" s="235"/>
      <c r="BC39" s="235">
        <v>1357736146</v>
      </c>
      <c r="BD39" s="235">
        <v>1010511465</v>
      </c>
      <c r="BE39" s="235">
        <v>915539574</v>
      </c>
      <c r="BF39" s="235">
        <v>554350435</v>
      </c>
      <c r="BG39" s="235">
        <v>648619470</v>
      </c>
      <c r="BH39" s="235"/>
      <c r="BI39" s="235">
        <v>463023544</v>
      </c>
      <c r="BJ39" s="209">
        <f t="shared" si="46"/>
        <v>91876164153</v>
      </c>
      <c r="BK39" s="209">
        <f t="shared" si="47"/>
        <v>157370993733</v>
      </c>
    </row>
    <row r="40" spans="1:63" x14ac:dyDescent="0.2">
      <c r="A40" s="214" t="s">
        <v>63</v>
      </c>
      <c r="B40" s="213"/>
      <c r="C40" s="213">
        <f>70841502+660094593</f>
        <v>730936095</v>
      </c>
      <c r="D40" s="213">
        <v>4268559931</v>
      </c>
      <c r="E40" s="213">
        <v>6289722664</v>
      </c>
      <c r="F40" s="213">
        <f>(4675+2642629)*1000</f>
        <v>2647304000</v>
      </c>
      <c r="G40" s="213">
        <f>(2923+4429336)*1000</f>
        <v>4432259000</v>
      </c>
      <c r="H40" s="213">
        <f>753879455+163500</f>
        <v>754042955</v>
      </c>
      <c r="I40" s="213">
        <f>1702010785+789000</f>
        <v>1702799785</v>
      </c>
      <c r="J40" s="213"/>
      <c r="K40" s="213">
        <v>1640848264</v>
      </c>
      <c r="L40" s="213">
        <v>355564109</v>
      </c>
      <c r="M40" s="213">
        <v>623179286</v>
      </c>
      <c r="N40" s="213"/>
      <c r="O40" s="213">
        <v>124505806</v>
      </c>
      <c r="P40" s="213">
        <v>8259426000</v>
      </c>
      <c r="Q40" s="213">
        <v>13927711000</v>
      </c>
      <c r="R40" s="213"/>
      <c r="S40" s="213">
        <v>28320000</v>
      </c>
      <c r="T40" s="213">
        <v>420005367</v>
      </c>
      <c r="U40" s="213">
        <v>471589582</v>
      </c>
      <c r="V40" s="213">
        <v>267629517</v>
      </c>
      <c r="W40" s="213">
        <v>254384893</v>
      </c>
      <c r="X40" s="213"/>
      <c r="Y40" s="213">
        <f>286309160+4271470103</f>
        <v>4557779263</v>
      </c>
      <c r="Z40" s="213">
        <f>9117006+478528279</f>
        <v>487645285</v>
      </c>
      <c r="AA40" s="213">
        <f>15790581+525143774</f>
        <v>540934355</v>
      </c>
      <c r="AB40" s="213">
        <v>182988084</v>
      </c>
      <c r="AC40" s="213">
        <v>197421742</v>
      </c>
      <c r="AD40" s="213"/>
      <c r="AE40" s="213">
        <f>292266330</f>
        <v>292266330</v>
      </c>
      <c r="AF40" s="235"/>
      <c r="AG40" s="235">
        <v>208433460</v>
      </c>
      <c r="AH40" s="235">
        <f>357459000+70072000</f>
        <v>427531000</v>
      </c>
      <c r="AI40" s="235">
        <f>282337000+52755000+90000000</f>
        <v>425092000</v>
      </c>
      <c r="AJ40" s="235">
        <f>177747898+202319530</f>
        <v>380067428</v>
      </c>
      <c r="AK40" s="235">
        <f>213031122+186326708</f>
        <v>399357830</v>
      </c>
      <c r="AL40" s="213"/>
      <c r="AM40" s="213">
        <v>911589259</v>
      </c>
      <c r="AN40" s="235">
        <v>844014239</v>
      </c>
      <c r="AO40" s="235">
        <v>590037991</v>
      </c>
      <c r="AP40" s="235"/>
      <c r="AQ40" s="235">
        <v>269164000</v>
      </c>
      <c r="AR40" s="235"/>
      <c r="AS40" s="235">
        <v>3785389528</v>
      </c>
      <c r="AT40" s="235">
        <v>1133611000</v>
      </c>
      <c r="AU40" s="235">
        <v>907529000</v>
      </c>
      <c r="AV40" s="235">
        <f>72720051+30616356</f>
        <v>103336407</v>
      </c>
      <c r="AW40" s="235">
        <f>104069977+33119480</f>
        <v>137189457</v>
      </c>
      <c r="AX40" s="235">
        <v>190316891</v>
      </c>
      <c r="AY40" s="235">
        <v>194340115</v>
      </c>
      <c r="AZ40" s="235">
        <v>485590000</v>
      </c>
      <c r="BA40" s="235">
        <v>1242237828</v>
      </c>
      <c r="BB40" s="235"/>
      <c r="BC40" s="235">
        <v>857165470</v>
      </c>
      <c r="BD40" s="235"/>
      <c r="BE40" s="235"/>
      <c r="BF40" s="235">
        <v>389700710</v>
      </c>
      <c r="BG40" s="235">
        <v>406030258</v>
      </c>
      <c r="BH40" s="235"/>
      <c r="BI40" s="235">
        <v>149786743</v>
      </c>
      <c r="BJ40" s="209">
        <f t="shared" si="46"/>
        <v>21597332923</v>
      </c>
      <c r="BK40" s="209">
        <f t="shared" si="47"/>
        <v>46298001004</v>
      </c>
    </row>
    <row r="41" spans="1:63" s="224" customFormat="1" x14ac:dyDescent="0.2">
      <c r="A41" s="223" t="s">
        <v>64</v>
      </c>
      <c r="B41" s="210">
        <f t="shared" ref="B41:AO41" si="48">+B38-B39-B40</f>
        <v>0</v>
      </c>
      <c r="C41" s="210">
        <f t="shared" si="48"/>
        <v>300389503</v>
      </c>
      <c r="D41" s="210">
        <f t="shared" si="48"/>
        <v>3178984709</v>
      </c>
      <c r="E41" s="210">
        <f t="shared" si="48"/>
        <v>4531555569</v>
      </c>
      <c r="F41" s="210">
        <f t="shared" si="48"/>
        <v>1661077000</v>
      </c>
      <c r="G41" s="210">
        <f t="shared" si="48"/>
        <v>8518513000</v>
      </c>
      <c r="H41" s="210">
        <f t="shared" si="48"/>
        <v>1819881954</v>
      </c>
      <c r="I41" s="210">
        <f t="shared" si="48"/>
        <v>-2227534615</v>
      </c>
      <c r="J41" s="210">
        <f t="shared" si="48"/>
        <v>0</v>
      </c>
      <c r="K41" s="210">
        <f t="shared" si="48"/>
        <v>-68860657</v>
      </c>
      <c r="L41" s="210">
        <f t="shared" si="48"/>
        <v>62339773</v>
      </c>
      <c r="M41" s="210">
        <f t="shared" si="48"/>
        <v>20379936</v>
      </c>
      <c r="N41" s="210">
        <f t="shared" si="48"/>
        <v>0</v>
      </c>
      <c r="O41" s="210">
        <f t="shared" si="48"/>
        <v>22900847</v>
      </c>
      <c r="P41" s="210">
        <f t="shared" si="48"/>
        <v>7707398000</v>
      </c>
      <c r="Q41" s="210">
        <f t="shared" si="48"/>
        <v>8497895000</v>
      </c>
      <c r="R41" s="210">
        <f t="shared" si="48"/>
        <v>0</v>
      </c>
      <c r="S41" s="210">
        <f t="shared" si="48"/>
        <v>32819000</v>
      </c>
      <c r="T41" s="210">
        <f t="shared" si="48"/>
        <v>1135195325</v>
      </c>
      <c r="U41" s="210">
        <f t="shared" si="48"/>
        <v>1181980189</v>
      </c>
      <c r="V41" s="210">
        <f t="shared" si="48"/>
        <v>230104993</v>
      </c>
      <c r="W41" s="210">
        <f t="shared" si="48"/>
        <v>220165360</v>
      </c>
      <c r="X41" s="210">
        <f t="shared" si="48"/>
        <v>0</v>
      </c>
      <c r="Y41" s="210">
        <f t="shared" si="48"/>
        <v>519005256</v>
      </c>
      <c r="Z41" s="210">
        <f t="shared" si="48"/>
        <v>13625659</v>
      </c>
      <c r="AA41" s="210">
        <f t="shared" si="48"/>
        <v>216880116</v>
      </c>
      <c r="AB41" s="210">
        <f t="shared" si="48"/>
        <v>14502441</v>
      </c>
      <c r="AC41" s="210">
        <f t="shared" si="48"/>
        <v>60855776</v>
      </c>
      <c r="AD41" s="210">
        <f t="shared" si="48"/>
        <v>0</v>
      </c>
      <c r="AE41" s="210">
        <f t="shared" si="48"/>
        <v>112541069</v>
      </c>
      <c r="AF41" s="210">
        <f t="shared" si="48"/>
        <v>0</v>
      </c>
      <c r="AG41" s="210">
        <f t="shared" si="48"/>
        <v>4324540</v>
      </c>
      <c r="AH41" s="210">
        <f t="shared" si="48"/>
        <v>188409000</v>
      </c>
      <c r="AI41" s="210">
        <f t="shared" si="48"/>
        <v>197827000</v>
      </c>
      <c r="AJ41" s="210">
        <f t="shared" si="48"/>
        <v>65891975</v>
      </c>
      <c r="AK41" s="210">
        <f t="shared" si="48"/>
        <v>75391170</v>
      </c>
      <c r="AL41" s="210">
        <f t="shared" si="48"/>
        <v>0</v>
      </c>
      <c r="AM41" s="210">
        <f t="shared" si="48"/>
        <v>331363439</v>
      </c>
      <c r="AN41" s="210">
        <f t="shared" si="48"/>
        <v>1194450146</v>
      </c>
      <c r="AO41" s="210">
        <f t="shared" si="48"/>
        <v>1683548927</v>
      </c>
      <c r="AP41" s="210">
        <f t="shared" ref="AP41:AQ41" si="49">+AP38-AP39-AP40</f>
        <v>0</v>
      </c>
      <c r="AQ41" s="210">
        <f t="shared" si="49"/>
        <v>31052000</v>
      </c>
      <c r="AR41" s="210">
        <f t="shared" ref="AR41:AS41" si="50">+AR38-AR39-AR40</f>
        <v>0</v>
      </c>
      <c r="AS41" s="210">
        <f t="shared" si="50"/>
        <v>3146843368</v>
      </c>
      <c r="AT41" s="210">
        <f t="shared" ref="AT41:AU41" si="51">+AT38-AT39-AT40</f>
        <v>1176857000</v>
      </c>
      <c r="AU41" s="210">
        <f t="shared" si="51"/>
        <v>996031000</v>
      </c>
      <c r="AV41" s="210">
        <f t="shared" ref="AV41:AW41" si="52">+AV38-AV39-AV40</f>
        <v>3852966</v>
      </c>
      <c r="AW41" s="210">
        <f t="shared" si="52"/>
        <v>5506916</v>
      </c>
      <c r="AX41" s="210">
        <f t="shared" ref="AX41:AY41" si="53">+AX38-AX39-AX40</f>
        <v>-1596901</v>
      </c>
      <c r="AY41" s="210">
        <f t="shared" si="53"/>
        <v>-247197338</v>
      </c>
      <c r="AZ41" s="210">
        <f t="shared" ref="AZ41:BA41" si="54">+AZ38-AZ39-AZ40</f>
        <v>28540000</v>
      </c>
      <c r="BA41" s="210">
        <f t="shared" si="54"/>
        <v>97732172</v>
      </c>
      <c r="BB41" s="210">
        <f t="shared" ref="BB41:BC41" si="55">+BB38-BB39-BB40</f>
        <v>0</v>
      </c>
      <c r="BC41" s="210">
        <f t="shared" si="55"/>
        <v>453271446</v>
      </c>
      <c r="BD41" s="210">
        <f t="shared" ref="BD41:BE41" si="56">+BD38-BD39-BD40</f>
        <v>1101659961</v>
      </c>
      <c r="BE41" s="210">
        <f t="shared" si="56"/>
        <v>1336820621</v>
      </c>
      <c r="BF41" s="210">
        <f t="shared" ref="BF41:BG41" si="57">+BF38-BF39-BF40</f>
        <v>228528207</v>
      </c>
      <c r="BG41" s="210">
        <f t="shared" si="57"/>
        <v>152770852</v>
      </c>
      <c r="BH41" s="210">
        <f t="shared" ref="BH41:BI41" si="58">+BH38-BH39-BH40</f>
        <v>0</v>
      </c>
      <c r="BI41" s="210">
        <f t="shared" si="58"/>
        <v>31168713</v>
      </c>
      <c r="BJ41" s="210">
        <f>+BJ38-BJ39-BJ40</f>
        <v>19809702208</v>
      </c>
      <c r="BK41" s="210">
        <f>+BK38-BK39-BK40</f>
        <v>30235940175</v>
      </c>
    </row>
    <row r="42" spans="1:63" x14ac:dyDescent="0.2">
      <c r="A42" s="214" t="s">
        <v>65</v>
      </c>
      <c r="B42" s="213"/>
      <c r="C42" s="213">
        <f>15325171+1390</f>
        <v>15326561</v>
      </c>
      <c r="D42" s="213">
        <v>2465647</v>
      </c>
      <c r="E42" s="213">
        <v>21902290</v>
      </c>
      <c r="F42" s="213">
        <v>34124000</v>
      </c>
      <c r="G42" s="213">
        <v>44029000</v>
      </c>
      <c r="H42" s="213">
        <f>146562259+12632467</f>
        <v>159194726</v>
      </c>
      <c r="I42" s="213">
        <f>5132859+304326794</f>
        <v>309459653</v>
      </c>
      <c r="J42" s="213"/>
      <c r="K42" s="213">
        <f>166410940+308259702</f>
        <v>474670642</v>
      </c>
      <c r="L42" s="213">
        <v>52807</v>
      </c>
      <c r="M42" s="213">
        <v>652746</v>
      </c>
      <c r="N42" s="213"/>
      <c r="O42" s="213">
        <v>203535</v>
      </c>
      <c r="P42" s="213">
        <f>853432000+1076448000</f>
        <v>1929880000</v>
      </c>
      <c r="Q42" s="213">
        <f>759488000+3006279000</f>
        <v>3765767000</v>
      </c>
      <c r="R42" s="213"/>
      <c r="S42" s="213"/>
      <c r="T42" s="213">
        <f>173388292+57140609</f>
        <v>230528901</v>
      </c>
      <c r="U42" s="213">
        <f>22539152+73253364</f>
        <v>95792516</v>
      </c>
      <c r="V42" s="213">
        <v>550000</v>
      </c>
      <c r="W42" s="213">
        <v>50558</v>
      </c>
      <c r="X42" s="213"/>
      <c r="Y42" s="213">
        <v>6428576</v>
      </c>
      <c r="Z42" s="213">
        <v>178146291</v>
      </c>
      <c r="AA42" s="213">
        <f>111966690+21534452</f>
        <v>133501142</v>
      </c>
      <c r="AB42" s="213">
        <v>446260</v>
      </c>
      <c r="AC42" s="213">
        <v>220249</v>
      </c>
      <c r="AD42" s="213"/>
      <c r="AE42" s="213">
        <v>1191415</v>
      </c>
      <c r="AF42" s="235"/>
      <c r="AG42" s="235"/>
      <c r="AH42" s="235"/>
      <c r="AI42" s="235"/>
      <c r="AJ42" s="235"/>
      <c r="AK42" s="235"/>
      <c r="AL42" s="213"/>
      <c r="AM42" s="213">
        <v>109704064</v>
      </c>
      <c r="AN42" s="235">
        <v>44930211</v>
      </c>
      <c r="AO42" s="235">
        <v>31185443</v>
      </c>
      <c r="AP42" s="235"/>
      <c r="AQ42" s="235">
        <v>5954000</v>
      </c>
      <c r="AR42" s="235"/>
      <c r="AS42" s="235">
        <v>814463999</v>
      </c>
      <c r="AT42" s="235">
        <f>5228000+483000+18802000</f>
        <v>24513000</v>
      </c>
      <c r="AU42" s="235">
        <f>18135000+16173000+158771000</f>
        <v>193079000</v>
      </c>
      <c r="AV42" s="235"/>
      <c r="AW42" s="235"/>
      <c r="AX42" s="235">
        <v>37195120</v>
      </c>
      <c r="AY42" s="235">
        <v>129074187</v>
      </c>
      <c r="AZ42" s="235"/>
      <c r="BA42" s="235">
        <f>3762867+668</f>
        <v>3763535</v>
      </c>
      <c r="BB42" s="235"/>
      <c r="BC42" s="235"/>
      <c r="BD42" s="235">
        <v>8800252</v>
      </c>
      <c r="BE42" s="235">
        <v>1212502</v>
      </c>
      <c r="BF42" s="235">
        <v>1272888</v>
      </c>
      <c r="BG42" s="235">
        <v>141106</v>
      </c>
      <c r="BH42" s="235"/>
      <c r="BI42" s="235">
        <v>797349</v>
      </c>
      <c r="BJ42" s="209">
        <f t="shared" ref="BJ42:BJ43" si="59">+B42+D42+F42+H42+J42+L42+N42+P42+R42+T42+V42+X42+Z42+AB42+AD42+AF42+AH42+AJ42+AL42+AN42+AP42+AR42+AT42+AV42+AX42+AZ42+BB42+BD42+BF42+BH42</f>
        <v>2652100103</v>
      </c>
      <c r="BK42" s="209">
        <f t="shared" ref="BK42:BK43" si="60">+C42+E42+G42+I42+K42+M42+O42+Q42+S42+U42+W42+Y42+AA42+AC42+AE42+AG42+AI42+AK42+AM42+AO42+AQ42+AS42+AU42+AW42+AY42+BA42+BC42+BE42+BG42+BI42</f>
        <v>6158571068</v>
      </c>
    </row>
    <row r="43" spans="1:63" x14ac:dyDescent="0.2">
      <c r="A43" s="214" t="s">
        <v>66</v>
      </c>
      <c r="B43" s="213"/>
      <c r="C43" s="213">
        <v>3990548</v>
      </c>
      <c r="D43" s="213">
        <v>287530255</v>
      </c>
      <c r="E43" s="213">
        <v>452722120</v>
      </c>
      <c r="F43" s="213">
        <f>17803000+2935275000</f>
        <v>2953078000</v>
      </c>
      <c r="G43" s="213">
        <f>18534000-1840520000</f>
        <v>-1821986000</v>
      </c>
      <c r="H43" s="213">
        <f>47425461+174592901</f>
        <v>222018362</v>
      </c>
      <c r="I43" s="213">
        <f>242278104+131375750</f>
        <v>373653854</v>
      </c>
      <c r="J43" s="213"/>
      <c r="K43" s="213">
        <f>25966000+196868226</f>
        <v>222834226</v>
      </c>
      <c r="L43" s="213">
        <v>32593220</v>
      </c>
      <c r="M43" s="213">
        <v>54227403</v>
      </c>
      <c r="N43" s="213"/>
      <c r="O43" s="213">
        <f>1326235+1444700</f>
        <v>2770935</v>
      </c>
      <c r="P43" s="213">
        <f>467363000+2373644000</f>
        <v>2841007000</v>
      </c>
      <c r="Q43" s="213">
        <f>729150000+1983166000</f>
        <v>2712316000</v>
      </c>
      <c r="R43" s="213"/>
      <c r="S43" s="213">
        <v>25265000</v>
      </c>
      <c r="T43" s="213">
        <f>368817421+364701166</f>
        <v>733518587</v>
      </c>
      <c r="U43" s="213">
        <f>467934207+259810294</f>
        <v>727744501</v>
      </c>
      <c r="V43" s="213">
        <f>984737+10329381</f>
        <v>11314118</v>
      </c>
      <c r="W43" s="213">
        <f>879279+37373303</f>
        <v>38252582</v>
      </c>
      <c r="X43" s="213"/>
      <c r="Y43" s="213">
        <v>237921832</v>
      </c>
      <c r="Z43" s="213">
        <f>28650020+10378543</f>
        <v>39028563</v>
      </c>
      <c r="AA43" s="213">
        <f>45863847+5741280</f>
        <v>51605127</v>
      </c>
      <c r="AB43" s="213">
        <v>3942489</v>
      </c>
      <c r="AC43" s="213">
        <v>6035026</v>
      </c>
      <c r="AD43" s="213"/>
      <c r="AE43" s="213"/>
      <c r="AF43" s="235"/>
      <c r="AG43" s="235"/>
      <c r="AH43" s="235">
        <v>107067000</v>
      </c>
      <c r="AI43" s="235">
        <v>88015000</v>
      </c>
      <c r="AJ43" s="235">
        <v>2557455</v>
      </c>
      <c r="AK43" s="235">
        <v>2908692</v>
      </c>
      <c r="AL43" s="213"/>
      <c r="AM43" s="213"/>
      <c r="AN43" s="235">
        <v>171183896</v>
      </c>
      <c r="AO43" s="235">
        <v>538297140</v>
      </c>
      <c r="AP43" s="235"/>
      <c r="AQ43" s="235">
        <f>24624000+12042000</f>
        <v>36666000</v>
      </c>
      <c r="AR43" s="235"/>
      <c r="AS43" s="235">
        <f>52941994+2125180490</f>
        <v>2178122484</v>
      </c>
      <c r="AT43" s="235">
        <f>40508000+121644000</f>
        <v>162152000</v>
      </c>
      <c r="AU43" s="235">
        <f>44299000+491258000</f>
        <v>535557000</v>
      </c>
      <c r="AV43" s="235">
        <v>2400616</v>
      </c>
      <c r="AW43" s="235">
        <v>1188068</v>
      </c>
      <c r="AX43" s="235">
        <v>24178173</v>
      </c>
      <c r="AY43" s="235">
        <v>8807445</v>
      </c>
      <c r="AZ43" s="235">
        <v>3910000</v>
      </c>
      <c r="BA43" s="235">
        <v>20056737</v>
      </c>
      <c r="BB43" s="235"/>
      <c r="BC43" s="235">
        <v>187320379</v>
      </c>
      <c r="BD43" s="235">
        <f>867156076+10164643</f>
        <v>877320719</v>
      </c>
      <c r="BE43" s="235">
        <f>1037098643+41327864</f>
        <v>1078426507</v>
      </c>
      <c r="BF43" s="235">
        <v>44367065</v>
      </c>
      <c r="BG43" s="235">
        <v>30027579</v>
      </c>
      <c r="BH43" s="235"/>
      <c r="BI43" s="235">
        <f>643680+434382+1325000</f>
        <v>2403062</v>
      </c>
      <c r="BJ43" s="209">
        <f t="shared" si="59"/>
        <v>8519167518</v>
      </c>
      <c r="BK43" s="209">
        <f t="shared" si="60"/>
        <v>7795149247</v>
      </c>
    </row>
    <row r="44" spans="1:63" s="224" customFormat="1" x14ac:dyDescent="0.2">
      <c r="A44" s="223" t="s">
        <v>67</v>
      </c>
      <c r="B44" s="210">
        <f t="shared" ref="B44:AE44" si="61">+B41+B42-B43</f>
        <v>0</v>
      </c>
      <c r="C44" s="210">
        <f t="shared" si="61"/>
        <v>311725516</v>
      </c>
      <c r="D44" s="210">
        <f t="shared" si="61"/>
        <v>2893920101</v>
      </c>
      <c r="E44" s="210">
        <f t="shared" si="61"/>
        <v>4100735739</v>
      </c>
      <c r="F44" s="210">
        <f t="shared" si="61"/>
        <v>-1257877000</v>
      </c>
      <c r="G44" s="210">
        <f t="shared" si="61"/>
        <v>10384528000</v>
      </c>
      <c r="H44" s="210">
        <f t="shared" si="61"/>
        <v>1757058318</v>
      </c>
      <c r="I44" s="210">
        <f t="shared" si="61"/>
        <v>-2291728816</v>
      </c>
      <c r="J44" s="210">
        <f t="shared" si="61"/>
        <v>0</v>
      </c>
      <c r="K44" s="210">
        <f t="shared" si="61"/>
        <v>182975759</v>
      </c>
      <c r="L44" s="210">
        <f t="shared" si="61"/>
        <v>29799360</v>
      </c>
      <c r="M44" s="210">
        <f t="shared" si="61"/>
        <v>-33194721</v>
      </c>
      <c r="N44" s="210">
        <f t="shared" si="61"/>
        <v>0</v>
      </c>
      <c r="O44" s="210">
        <f t="shared" si="61"/>
        <v>20333447</v>
      </c>
      <c r="P44" s="210">
        <f t="shared" si="61"/>
        <v>6796271000</v>
      </c>
      <c r="Q44" s="210">
        <f t="shared" si="61"/>
        <v>9551346000</v>
      </c>
      <c r="R44" s="210">
        <f t="shared" si="61"/>
        <v>0</v>
      </c>
      <c r="S44" s="210">
        <f t="shared" si="61"/>
        <v>7554000</v>
      </c>
      <c r="T44" s="210">
        <f t="shared" si="61"/>
        <v>632205639</v>
      </c>
      <c r="U44" s="210">
        <f t="shared" si="61"/>
        <v>550028204</v>
      </c>
      <c r="V44" s="210">
        <f t="shared" si="61"/>
        <v>219340875</v>
      </c>
      <c r="W44" s="210">
        <f t="shared" si="61"/>
        <v>181963336</v>
      </c>
      <c r="X44" s="210">
        <f t="shared" si="61"/>
        <v>0</v>
      </c>
      <c r="Y44" s="210">
        <f t="shared" si="61"/>
        <v>287512000</v>
      </c>
      <c r="Z44" s="210">
        <f t="shared" si="61"/>
        <v>152743387</v>
      </c>
      <c r="AA44" s="210">
        <f t="shared" si="61"/>
        <v>298776131</v>
      </c>
      <c r="AB44" s="210">
        <f t="shared" si="61"/>
        <v>11006212</v>
      </c>
      <c r="AC44" s="210">
        <f t="shared" si="61"/>
        <v>55040999</v>
      </c>
      <c r="AD44" s="210">
        <f t="shared" si="61"/>
        <v>0</v>
      </c>
      <c r="AE44" s="210">
        <f t="shared" si="61"/>
        <v>113732484</v>
      </c>
      <c r="AF44" s="210">
        <f>+AF41+AF42+AF43</f>
        <v>0</v>
      </c>
      <c r="AG44" s="210">
        <f>+AG41+AG42+AG43</f>
        <v>4324540</v>
      </c>
      <c r="AH44" s="210">
        <f t="shared" ref="AH44:AO44" si="62">+AH41+AH42-AH43</f>
        <v>81342000</v>
      </c>
      <c r="AI44" s="210">
        <f t="shared" si="62"/>
        <v>109812000</v>
      </c>
      <c r="AJ44" s="210">
        <f t="shared" si="62"/>
        <v>63334520</v>
      </c>
      <c r="AK44" s="210">
        <f t="shared" si="62"/>
        <v>72482478</v>
      </c>
      <c r="AL44" s="210">
        <f t="shared" si="62"/>
        <v>0</v>
      </c>
      <c r="AM44" s="210">
        <f t="shared" si="62"/>
        <v>441067503</v>
      </c>
      <c r="AN44" s="210">
        <f t="shared" si="62"/>
        <v>1068196461</v>
      </c>
      <c r="AO44" s="210">
        <f t="shared" si="62"/>
        <v>1176437230</v>
      </c>
      <c r="AP44" s="210">
        <f t="shared" ref="AP44:AQ44" si="63">+AP41+AP42-AP43</f>
        <v>0</v>
      </c>
      <c r="AQ44" s="210">
        <f t="shared" si="63"/>
        <v>340000</v>
      </c>
      <c r="AR44" s="210">
        <f t="shared" ref="AR44:AS44" si="64">+AR41+AR42-AR43</f>
        <v>0</v>
      </c>
      <c r="AS44" s="210">
        <f t="shared" si="64"/>
        <v>1783184883</v>
      </c>
      <c r="AT44" s="210">
        <f t="shared" ref="AT44:AU44" si="65">+AT41+AT42-AT43</f>
        <v>1039218000</v>
      </c>
      <c r="AU44" s="210">
        <f t="shared" si="65"/>
        <v>653553000</v>
      </c>
      <c r="AV44" s="210">
        <f t="shared" ref="AV44:AW44" si="66">+AV41+AV42-AV43</f>
        <v>1452350</v>
      </c>
      <c r="AW44" s="210">
        <f t="shared" si="66"/>
        <v>4318848</v>
      </c>
      <c r="AX44" s="210">
        <f t="shared" ref="AX44:AY44" si="67">+AX41+AX42-AX43</f>
        <v>11420046</v>
      </c>
      <c r="AY44" s="210">
        <f t="shared" si="67"/>
        <v>-126930596</v>
      </c>
      <c r="AZ44" s="210">
        <f t="shared" ref="AZ44:BA44" si="68">+AZ41+AZ42-AZ43</f>
        <v>24630000</v>
      </c>
      <c r="BA44" s="210">
        <f t="shared" si="68"/>
        <v>81438970</v>
      </c>
      <c r="BB44" s="210">
        <f t="shared" ref="BB44:BC44" si="69">+BB41+BB42-BB43</f>
        <v>0</v>
      </c>
      <c r="BC44" s="210">
        <f t="shared" si="69"/>
        <v>265951067</v>
      </c>
      <c r="BD44" s="210">
        <f t="shared" ref="BD44:BE44" si="70">+BD41+BD42-BD43</f>
        <v>233139494</v>
      </c>
      <c r="BE44" s="210">
        <f t="shared" si="70"/>
        <v>259606616</v>
      </c>
      <c r="BF44" s="210">
        <f t="shared" ref="BF44:BG44" si="71">+BF41+BF42-BF43</f>
        <v>185434030</v>
      </c>
      <c r="BG44" s="210">
        <f t="shared" si="71"/>
        <v>122884379</v>
      </c>
      <c r="BH44" s="210">
        <f t="shared" ref="BH44:BI44" si="72">+BH41+BH42-BH43</f>
        <v>0</v>
      </c>
      <c r="BI44" s="210">
        <f t="shared" si="72"/>
        <v>29563000</v>
      </c>
      <c r="BJ44" s="210">
        <f>+BJ41+BJ42-BJ43</f>
        <v>13942634793</v>
      </c>
      <c r="BK44" s="210">
        <f>+BK41+BK42-BK43</f>
        <v>28599361996</v>
      </c>
    </row>
    <row r="45" spans="1:63" x14ac:dyDescent="0.2">
      <c r="A45" s="214" t="s">
        <v>68</v>
      </c>
      <c r="B45" s="235"/>
      <c r="C45" s="235">
        <v>-110692000</v>
      </c>
      <c r="D45" s="235">
        <v>-1013373603</v>
      </c>
      <c r="E45" s="235">
        <v>-1457215000</v>
      </c>
      <c r="F45" s="235">
        <v>323410000</v>
      </c>
      <c r="G45" s="235">
        <f>-1847207000-881486000</f>
        <v>-2728693000</v>
      </c>
      <c r="H45" s="235">
        <f>-626720000+24212867</f>
        <v>-602507133</v>
      </c>
      <c r="I45" s="235">
        <v>749122706</v>
      </c>
      <c r="J45" s="235"/>
      <c r="K45" s="235">
        <v>-220792306</v>
      </c>
      <c r="L45" s="235">
        <v>-53606449</v>
      </c>
      <c r="M45" s="235">
        <v>43633127</v>
      </c>
      <c r="N45" s="235"/>
      <c r="O45" s="235"/>
      <c r="P45" s="235">
        <v>-2643531000</v>
      </c>
      <c r="Q45" s="235">
        <v>-3277123000</v>
      </c>
      <c r="R45" s="235"/>
      <c r="S45" s="235"/>
      <c r="T45" s="235">
        <v>-242846000</v>
      </c>
      <c r="U45" s="235">
        <v>-235460000</v>
      </c>
      <c r="V45" s="235">
        <v>-43747000</v>
      </c>
      <c r="W45" s="235">
        <v>-75641351</v>
      </c>
      <c r="X45" s="235"/>
      <c r="Y45" s="235">
        <v>-74540000</v>
      </c>
      <c r="Z45" s="235">
        <v>-88006654</v>
      </c>
      <c r="AA45" s="235">
        <v>-108843000</v>
      </c>
      <c r="AB45" s="235"/>
      <c r="AC45" s="235"/>
      <c r="AD45" s="235"/>
      <c r="AE45" s="235"/>
      <c r="AF45" s="235"/>
      <c r="AG45" s="235">
        <v>-1427000</v>
      </c>
      <c r="AH45" s="235"/>
      <c r="AI45" s="235"/>
      <c r="AJ45" s="235"/>
      <c r="AK45" s="235"/>
      <c r="AL45" s="235"/>
      <c r="AM45" s="235"/>
      <c r="AN45" s="235">
        <v>-387349554</v>
      </c>
      <c r="AO45" s="235">
        <v>-492839008</v>
      </c>
      <c r="AP45" s="235"/>
      <c r="AQ45" s="235"/>
      <c r="AR45" s="235"/>
      <c r="AS45" s="235">
        <v>-544895308</v>
      </c>
      <c r="AT45" s="235">
        <v>-403987000</v>
      </c>
      <c r="AU45" s="235">
        <v>-358259000</v>
      </c>
      <c r="AV45" s="235">
        <v>-3281000</v>
      </c>
      <c r="AW45" s="235">
        <v>-1927000</v>
      </c>
      <c r="AX45" s="235">
        <v>-8971000</v>
      </c>
      <c r="AY45" s="235"/>
      <c r="AZ45" s="235"/>
      <c r="BA45" s="235"/>
      <c r="BB45" s="235"/>
      <c r="BC45" s="235">
        <v>-61126000</v>
      </c>
      <c r="BD45" s="235">
        <v>-81598823</v>
      </c>
      <c r="BE45" s="235">
        <v>-90862315</v>
      </c>
      <c r="BF45" s="235">
        <v>-66680000</v>
      </c>
      <c r="BG45" s="235">
        <v>-22118810</v>
      </c>
      <c r="BH45" s="235"/>
      <c r="BI45" s="235">
        <v>-10811000</v>
      </c>
      <c r="BJ45" s="209">
        <f t="shared" ref="BJ45" si="73">+B45+D45+F45+H45+J45+L45+N45+P45+R45+T45+V45+X45+Z45+AB45+AD45+AF45+AH45+AJ45+AL45+AN45+AP45+AR45+AT45+AV45+AX45+AZ45+BB45+BD45+BF45+BH45</f>
        <v>-5316075216</v>
      </c>
      <c r="BK45" s="209">
        <f t="shared" ref="BK45" si="74">+C45+E45+G45+I45+K45+M45+O45+Q45+S45+U45+W45+Y45+AA45+AC45+AE45+AG45+AI45+AK45+AM45+AO45+AQ45+AS45+AU45+AW45+AY45+BA45+BC45+BE45+BG45+BI45</f>
        <v>-9080509265</v>
      </c>
    </row>
    <row r="46" spans="1:63" s="224" customFormat="1" x14ac:dyDescent="0.2">
      <c r="A46" s="223" t="s">
        <v>69</v>
      </c>
      <c r="B46" s="210">
        <f t="shared" ref="B46:AO46" si="75">+B44+B45</f>
        <v>0</v>
      </c>
      <c r="C46" s="210">
        <f t="shared" si="75"/>
        <v>201033516</v>
      </c>
      <c r="D46" s="210">
        <f t="shared" si="75"/>
        <v>1880546498</v>
      </c>
      <c r="E46" s="210">
        <f t="shared" si="75"/>
        <v>2643520739</v>
      </c>
      <c r="F46" s="210">
        <f t="shared" si="75"/>
        <v>-934467000</v>
      </c>
      <c r="G46" s="210">
        <f t="shared" si="75"/>
        <v>7655835000</v>
      </c>
      <c r="H46" s="210">
        <f t="shared" si="75"/>
        <v>1154551185</v>
      </c>
      <c r="I46" s="210">
        <f t="shared" si="75"/>
        <v>-1542606110</v>
      </c>
      <c r="J46" s="210">
        <f t="shared" si="75"/>
        <v>0</v>
      </c>
      <c r="K46" s="210">
        <f t="shared" si="75"/>
        <v>-37816547</v>
      </c>
      <c r="L46" s="210">
        <f t="shared" si="75"/>
        <v>-23807089</v>
      </c>
      <c r="M46" s="210">
        <f t="shared" si="75"/>
        <v>10438406</v>
      </c>
      <c r="N46" s="210">
        <f t="shared" si="75"/>
        <v>0</v>
      </c>
      <c r="O46" s="210">
        <f t="shared" si="75"/>
        <v>20333447</v>
      </c>
      <c r="P46" s="210">
        <f t="shared" si="75"/>
        <v>4152740000</v>
      </c>
      <c r="Q46" s="210">
        <f t="shared" si="75"/>
        <v>6274223000</v>
      </c>
      <c r="R46" s="210">
        <f t="shared" si="75"/>
        <v>0</v>
      </c>
      <c r="S46" s="210">
        <f t="shared" si="75"/>
        <v>7554000</v>
      </c>
      <c r="T46" s="210">
        <f t="shared" si="75"/>
        <v>389359639</v>
      </c>
      <c r="U46" s="210">
        <f t="shared" si="75"/>
        <v>314568204</v>
      </c>
      <c r="V46" s="210">
        <f t="shared" si="75"/>
        <v>175593875</v>
      </c>
      <c r="W46" s="210">
        <f t="shared" si="75"/>
        <v>106321985</v>
      </c>
      <c r="X46" s="210">
        <f t="shared" si="75"/>
        <v>0</v>
      </c>
      <c r="Y46" s="210">
        <f t="shared" si="75"/>
        <v>212972000</v>
      </c>
      <c r="Z46" s="210">
        <f t="shared" si="75"/>
        <v>64736733</v>
      </c>
      <c r="AA46" s="210">
        <f t="shared" si="75"/>
        <v>189933131</v>
      </c>
      <c r="AB46" s="210">
        <f t="shared" si="75"/>
        <v>11006212</v>
      </c>
      <c r="AC46" s="210">
        <f t="shared" si="75"/>
        <v>55040999</v>
      </c>
      <c r="AD46" s="210">
        <f t="shared" si="75"/>
        <v>0</v>
      </c>
      <c r="AE46" s="210">
        <f t="shared" si="75"/>
        <v>113732484</v>
      </c>
      <c r="AF46" s="210">
        <f t="shared" si="75"/>
        <v>0</v>
      </c>
      <c r="AG46" s="210">
        <f t="shared" si="75"/>
        <v>2897540</v>
      </c>
      <c r="AH46" s="210">
        <f t="shared" si="75"/>
        <v>81342000</v>
      </c>
      <c r="AI46" s="210">
        <f t="shared" si="75"/>
        <v>109812000</v>
      </c>
      <c r="AJ46" s="210">
        <f t="shared" si="75"/>
        <v>63334520</v>
      </c>
      <c r="AK46" s="210">
        <f t="shared" si="75"/>
        <v>72482478</v>
      </c>
      <c r="AL46" s="210">
        <f t="shared" si="75"/>
        <v>0</v>
      </c>
      <c r="AM46" s="210">
        <f t="shared" si="75"/>
        <v>441067503</v>
      </c>
      <c r="AN46" s="210">
        <f t="shared" si="75"/>
        <v>680846907</v>
      </c>
      <c r="AO46" s="210">
        <f t="shared" si="75"/>
        <v>683598222</v>
      </c>
      <c r="AP46" s="210">
        <f t="shared" ref="AP46:AQ46" si="76">+AP44+AP45</f>
        <v>0</v>
      </c>
      <c r="AQ46" s="210">
        <f t="shared" si="76"/>
        <v>340000</v>
      </c>
      <c r="AR46" s="210">
        <f t="shared" ref="AR46:AS46" si="77">+AR44+AR45</f>
        <v>0</v>
      </c>
      <c r="AS46" s="210">
        <f t="shared" si="77"/>
        <v>1238289575</v>
      </c>
      <c r="AT46" s="210">
        <f t="shared" ref="AT46:AU46" si="78">+AT44+AT45</f>
        <v>635231000</v>
      </c>
      <c r="AU46" s="210">
        <f t="shared" si="78"/>
        <v>295294000</v>
      </c>
      <c r="AV46" s="210">
        <f t="shared" ref="AV46:AW46" si="79">+AV44+AV45</f>
        <v>-1828650</v>
      </c>
      <c r="AW46" s="210">
        <f t="shared" si="79"/>
        <v>2391848</v>
      </c>
      <c r="AX46" s="210">
        <f t="shared" ref="AX46:AY46" si="80">+AX44+AX45</f>
        <v>2449046</v>
      </c>
      <c r="AY46" s="210">
        <f t="shared" si="80"/>
        <v>-126930596</v>
      </c>
      <c r="AZ46" s="210">
        <f t="shared" ref="AZ46:BA46" si="81">+AZ44+AZ45</f>
        <v>24630000</v>
      </c>
      <c r="BA46" s="210">
        <f t="shared" si="81"/>
        <v>81438970</v>
      </c>
      <c r="BB46" s="210">
        <f t="shared" ref="BB46:BC46" si="82">+BB44+BB45</f>
        <v>0</v>
      </c>
      <c r="BC46" s="210">
        <f t="shared" si="82"/>
        <v>204825067</v>
      </c>
      <c r="BD46" s="210">
        <f t="shared" ref="BD46:BE46" si="83">+BD44+BD45</f>
        <v>151540671</v>
      </c>
      <c r="BE46" s="210">
        <f t="shared" si="83"/>
        <v>168744301</v>
      </c>
      <c r="BF46" s="210">
        <f t="shared" ref="BF46:BG46" si="84">+BF44+BF45</f>
        <v>118754030</v>
      </c>
      <c r="BG46" s="210">
        <f t="shared" si="84"/>
        <v>100765569</v>
      </c>
      <c r="BH46" s="210">
        <f t="shared" ref="BH46:BI46" si="85">+BH44+BH45</f>
        <v>0</v>
      </c>
      <c r="BI46" s="210">
        <f t="shared" si="85"/>
        <v>18752000</v>
      </c>
      <c r="BJ46" s="210">
        <f>+BJ44+BJ45</f>
        <v>8626559577</v>
      </c>
      <c r="BK46" s="210">
        <f>+BK44+BK45</f>
        <v>19518852731</v>
      </c>
    </row>
    <row r="47" spans="1:63" x14ac:dyDescent="0.2">
      <c r="A47" s="214" t="s">
        <v>98</v>
      </c>
      <c r="B47" s="235"/>
      <c r="C47" s="235"/>
      <c r="D47" s="235"/>
      <c r="E47" s="235"/>
      <c r="F47" s="235"/>
      <c r="G47" s="235"/>
      <c r="H47" s="235"/>
      <c r="I47" s="235"/>
      <c r="J47" s="235"/>
      <c r="K47" s="235"/>
      <c r="L47" s="235"/>
      <c r="M47" s="235"/>
      <c r="N47" s="235"/>
      <c r="O47" s="235"/>
      <c r="P47" s="235"/>
      <c r="Q47" s="235"/>
      <c r="R47" s="235"/>
      <c r="S47" s="235"/>
      <c r="T47" s="235">
        <v>-6640142</v>
      </c>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09">
        <f t="shared" ref="BJ47" si="86">+B47+D47+F47+H47+J47+L47+N47+P47+R47+T47+V47+X47+Z47+AB47+AD47+AF47+AH47+AJ47+AL47+AN47+AP47+AR47+AT47+AV47+AX47+AZ47+BB47+BD47+BF47+BH47</f>
        <v>-6640142</v>
      </c>
      <c r="BK47" s="209">
        <f t="shared" ref="BK47" si="87">+C47+E47+G47+I47+K47+M47+O47+Q47+S47+U47+W47+Y47+AA47+AC47+AE47+AG47+AI47+AK47+AM47+AO47+AQ47+AS47+AU47+AW47+AY47+BA47+BC47+BE47+BG47+BI47</f>
        <v>0</v>
      </c>
    </row>
    <row r="48" spans="1:63" s="224" customFormat="1" x14ac:dyDescent="0.2">
      <c r="A48" s="223" t="s">
        <v>183</v>
      </c>
      <c r="B48" s="210">
        <f t="shared" ref="B48:AO48" si="88">+B46+B47</f>
        <v>0</v>
      </c>
      <c r="C48" s="210">
        <f t="shared" si="88"/>
        <v>201033516</v>
      </c>
      <c r="D48" s="210">
        <f t="shared" si="88"/>
        <v>1880546498</v>
      </c>
      <c r="E48" s="210">
        <f t="shared" si="88"/>
        <v>2643520739</v>
      </c>
      <c r="F48" s="210">
        <f t="shared" si="88"/>
        <v>-934467000</v>
      </c>
      <c r="G48" s="210">
        <f t="shared" si="88"/>
        <v>7655835000</v>
      </c>
      <c r="H48" s="210">
        <f t="shared" si="88"/>
        <v>1154551185</v>
      </c>
      <c r="I48" s="210">
        <f t="shared" si="88"/>
        <v>-1542606110</v>
      </c>
      <c r="J48" s="210">
        <f t="shared" si="88"/>
        <v>0</v>
      </c>
      <c r="K48" s="210">
        <f t="shared" si="88"/>
        <v>-37816547</v>
      </c>
      <c r="L48" s="210">
        <f t="shared" si="88"/>
        <v>-23807089</v>
      </c>
      <c r="M48" s="210">
        <f t="shared" si="88"/>
        <v>10438406</v>
      </c>
      <c r="N48" s="210">
        <f t="shared" si="88"/>
        <v>0</v>
      </c>
      <c r="O48" s="210">
        <f t="shared" si="88"/>
        <v>20333447</v>
      </c>
      <c r="P48" s="210">
        <f t="shared" si="88"/>
        <v>4152740000</v>
      </c>
      <c r="Q48" s="210">
        <f t="shared" si="88"/>
        <v>6274223000</v>
      </c>
      <c r="R48" s="210">
        <f t="shared" si="88"/>
        <v>0</v>
      </c>
      <c r="S48" s="210">
        <f t="shared" si="88"/>
        <v>7554000</v>
      </c>
      <c r="T48" s="210">
        <f t="shared" si="88"/>
        <v>382719497</v>
      </c>
      <c r="U48" s="210">
        <f t="shared" si="88"/>
        <v>314568204</v>
      </c>
      <c r="V48" s="210">
        <f t="shared" si="88"/>
        <v>175593875</v>
      </c>
      <c r="W48" s="210">
        <f t="shared" si="88"/>
        <v>106321985</v>
      </c>
      <c r="X48" s="210">
        <f t="shared" si="88"/>
        <v>0</v>
      </c>
      <c r="Y48" s="210">
        <f t="shared" si="88"/>
        <v>212972000</v>
      </c>
      <c r="Z48" s="210">
        <f t="shared" si="88"/>
        <v>64736733</v>
      </c>
      <c r="AA48" s="210">
        <f t="shared" si="88"/>
        <v>189933131</v>
      </c>
      <c r="AB48" s="210">
        <f t="shared" si="88"/>
        <v>11006212</v>
      </c>
      <c r="AC48" s="210">
        <f t="shared" si="88"/>
        <v>55040999</v>
      </c>
      <c r="AD48" s="210">
        <f t="shared" si="88"/>
        <v>0</v>
      </c>
      <c r="AE48" s="210">
        <f t="shared" si="88"/>
        <v>113732484</v>
      </c>
      <c r="AF48" s="210">
        <f t="shared" si="88"/>
        <v>0</v>
      </c>
      <c r="AG48" s="210">
        <f t="shared" si="88"/>
        <v>2897540</v>
      </c>
      <c r="AH48" s="210">
        <f t="shared" si="88"/>
        <v>81342000</v>
      </c>
      <c r="AI48" s="210">
        <f t="shared" si="88"/>
        <v>109812000</v>
      </c>
      <c r="AJ48" s="210">
        <f t="shared" si="88"/>
        <v>63334520</v>
      </c>
      <c r="AK48" s="210">
        <f t="shared" si="88"/>
        <v>72482478</v>
      </c>
      <c r="AL48" s="210">
        <f t="shared" si="88"/>
        <v>0</v>
      </c>
      <c r="AM48" s="210">
        <f t="shared" si="88"/>
        <v>441067503</v>
      </c>
      <c r="AN48" s="210">
        <f t="shared" si="88"/>
        <v>680846907</v>
      </c>
      <c r="AO48" s="210">
        <f t="shared" si="88"/>
        <v>683598222</v>
      </c>
      <c r="AP48" s="210">
        <f t="shared" ref="AP48:AQ48" si="89">+AP46+AP47</f>
        <v>0</v>
      </c>
      <c r="AQ48" s="210">
        <f t="shared" si="89"/>
        <v>340000</v>
      </c>
      <c r="AR48" s="210">
        <f t="shared" ref="AR48:AS48" si="90">+AR46+AR47</f>
        <v>0</v>
      </c>
      <c r="AS48" s="210">
        <f t="shared" si="90"/>
        <v>1238289575</v>
      </c>
      <c r="AT48" s="210">
        <f t="shared" ref="AT48:AU48" si="91">+AT46+AT47</f>
        <v>635231000</v>
      </c>
      <c r="AU48" s="210">
        <f t="shared" si="91"/>
        <v>295294000</v>
      </c>
      <c r="AV48" s="210">
        <f t="shared" ref="AV48:AW48" si="92">+AV46+AV47</f>
        <v>-1828650</v>
      </c>
      <c r="AW48" s="210">
        <f t="shared" si="92"/>
        <v>2391848</v>
      </c>
      <c r="AX48" s="210">
        <f t="shared" ref="AX48:AY48" si="93">+AX46+AX47</f>
        <v>2449046</v>
      </c>
      <c r="AY48" s="210">
        <f t="shared" si="93"/>
        <v>-126930596</v>
      </c>
      <c r="AZ48" s="210">
        <f t="shared" ref="AZ48:BA48" si="94">+AZ46+AZ47</f>
        <v>24630000</v>
      </c>
      <c r="BA48" s="210">
        <f t="shared" si="94"/>
        <v>81438970</v>
      </c>
      <c r="BB48" s="210">
        <f t="shared" ref="BB48:BC48" si="95">+BB46+BB47</f>
        <v>0</v>
      </c>
      <c r="BC48" s="210">
        <f t="shared" si="95"/>
        <v>204825067</v>
      </c>
      <c r="BD48" s="210">
        <f t="shared" ref="BD48:BE48" si="96">+BD46+BD47</f>
        <v>151540671</v>
      </c>
      <c r="BE48" s="210">
        <f t="shared" si="96"/>
        <v>168744301</v>
      </c>
      <c r="BF48" s="210">
        <f t="shared" ref="BF48:BG48" si="97">+BF46+BF47</f>
        <v>118754030</v>
      </c>
      <c r="BG48" s="210">
        <f t="shared" si="97"/>
        <v>100765569</v>
      </c>
      <c r="BH48" s="210">
        <f t="shared" ref="BH48:BI48" si="98">+BH46+BH47</f>
        <v>0</v>
      </c>
      <c r="BI48" s="210">
        <f t="shared" si="98"/>
        <v>18752000</v>
      </c>
      <c r="BJ48" s="210">
        <f>+BJ46+BJ47</f>
        <v>8619919435</v>
      </c>
      <c r="BK48" s="210">
        <f>+BK46+BK47</f>
        <v>19518852731</v>
      </c>
    </row>
    <row r="49" spans="1:63" s="216" customFormat="1" x14ac:dyDescent="0.2">
      <c r="A49" s="238"/>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c r="AF49" s="238"/>
      <c r="AG49" s="238"/>
      <c r="AH49" s="238"/>
      <c r="AI49" s="238"/>
      <c r="AJ49" s="240"/>
      <c r="AK49" s="240"/>
      <c r="AL49" s="240"/>
      <c r="AM49" s="240"/>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40"/>
      <c r="BK49" s="240"/>
    </row>
    <row r="50" spans="1:63" s="216" customFormat="1" x14ac:dyDescent="0.2">
      <c r="A50" s="238" t="s">
        <v>99</v>
      </c>
      <c r="B50" s="241">
        <f t="shared" ref="B50:AO50" si="99">+B12-B34</f>
        <v>0</v>
      </c>
      <c r="C50" s="241">
        <f t="shared" si="99"/>
        <v>0</v>
      </c>
      <c r="D50" s="241">
        <f t="shared" si="99"/>
        <v>0</v>
      </c>
      <c r="E50" s="241">
        <f t="shared" si="99"/>
        <v>0</v>
      </c>
      <c r="F50" s="241">
        <f t="shared" si="99"/>
        <v>0</v>
      </c>
      <c r="G50" s="241">
        <f t="shared" si="99"/>
        <v>0</v>
      </c>
      <c r="H50" s="241">
        <f t="shared" si="99"/>
        <v>0</v>
      </c>
      <c r="I50" s="241">
        <f t="shared" si="99"/>
        <v>0</v>
      </c>
      <c r="J50" s="241">
        <f t="shared" si="99"/>
        <v>0</v>
      </c>
      <c r="K50" s="241">
        <f t="shared" si="99"/>
        <v>0</v>
      </c>
      <c r="L50" s="241">
        <f t="shared" si="99"/>
        <v>0</v>
      </c>
      <c r="M50" s="241">
        <f t="shared" si="99"/>
        <v>0</v>
      </c>
      <c r="N50" s="241">
        <f t="shared" si="99"/>
        <v>0</v>
      </c>
      <c r="O50" s="241">
        <f t="shared" si="99"/>
        <v>0</v>
      </c>
      <c r="P50" s="241">
        <f t="shared" si="99"/>
        <v>0</v>
      </c>
      <c r="Q50" s="241">
        <f t="shared" si="99"/>
        <v>0</v>
      </c>
      <c r="R50" s="241">
        <f t="shared" si="99"/>
        <v>0</v>
      </c>
      <c r="S50" s="241">
        <f t="shared" si="99"/>
        <v>0</v>
      </c>
      <c r="T50" s="241">
        <f t="shared" si="99"/>
        <v>0</v>
      </c>
      <c r="U50" s="241">
        <f t="shared" si="99"/>
        <v>0</v>
      </c>
      <c r="V50" s="241">
        <f t="shared" si="99"/>
        <v>0</v>
      </c>
      <c r="W50" s="241">
        <f t="shared" si="99"/>
        <v>0</v>
      </c>
      <c r="X50" s="241">
        <f t="shared" si="99"/>
        <v>0</v>
      </c>
      <c r="Y50" s="241">
        <f t="shared" si="99"/>
        <v>0</v>
      </c>
      <c r="Z50" s="241">
        <f t="shared" si="99"/>
        <v>0</v>
      </c>
      <c r="AA50" s="241">
        <f t="shared" si="99"/>
        <v>0</v>
      </c>
      <c r="AB50" s="241">
        <f t="shared" si="99"/>
        <v>0</v>
      </c>
      <c r="AC50" s="241">
        <f t="shared" si="99"/>
        <v>0</v>
      </c>
      <c r="AD50" s="241">
        <f t="shared" si="99"/>
        <v>0</v>
      </c>
      <c r="AE50" s="241">
        <f t="shared" si="99"/>
        <v>0</v>
      </c>
      <c r="AF50" s="241">
        <f t="shared" si="99"/>
        <v>0</v>
      </c>
      <c r="AG50" s="241">
        <f t="shared" si="99"/>
        <v>0</v>
      </c>
      <c r="AH50" s="241">
        <f t="shared" si="99"/>
        <v>0</v>
      </c>
      <c r="AI50" s="241">
        <f t="shared" si="99"/>
        <v>0</v>
      </c>
      <c r="AJ50" s="241">
        <f t="shared" si="99"/>
        <v>0</v>
      </c>
      <c r="AK50" s="241">
        <f t="shared" si="99"/>
        <v>0</v>
      </c>
      <c r="AL50" s="241">
        <f t="shared" si="99"/>
        <v>0</v>
      </c>
      <c r="AM50" s="241">
        <f t="shared" si="99"/>
        <v>0</v>
      </c>
      <c r="AN50" s="241">
        <f t="shared" si="99"/>
        <v>0</v>
      </c>
      <c r="AO50" s="241">
        <f t="shared" si="99"/>
        <v>0</v>
      </c>
      <c r="AP50" s="241">
        <f t="shared" ref="AP50:AQ50" si="100">+AP12-AP34</f>
        <v>0</v>
      </c>
      <c r="AQ50" s="241">
        <f t="shared" si="100"/>
        <v>0</v>
      </c>
      <c r="AR50" s="241">
        <f t="shared" ref="AR50:AS50" si="101">+AR12-AR34</f>
        <v>0</v>
      </c>
      <c r="AS50" s="241">
        <f t="shared" si="101"/>
        <v>0</v>
      </c>
      <c r="AT50" s="241">
        <f t="shared" ref="AT50:AU50" si="102">+AT12-AT34</f>
        <v>0</v>
      </c>
      <c r="AU50" s="241">
        <f t="shared" si="102"/>
        <v>0</v>
      </c>
      <c r="AV50" s="241">
        <f t="shared" ref="AV50:AY50" si="103">+AV12-AV34</f>
        <v>0</v>
      </c>
      <c r="AW50" s="241">
        <f t="shared" si="103"/>
        <v>0</v>
      </c>
      <c r="AX50" s="241">
        <f t="shared" si="103"/>
        <v>0</v>
      </c>
      <c r="AY50" s="241">
        <f t="shared" si="103"/>
        <v>0</v>
      </c>
      <c r="AZ50" s="241">
        <f t="shared" ref="AZ50:BA50" si="104">+AZ12-AZ34</f>
        <v>0</v>
      </c>
      <c r="BA50" s="241">
        <f t="shared" si="104"/>
        <v>0</v>
      </c>
      <c r="BB50" s="241">
        <f t="shared" ref="BB50:BC50" si="105">+BB12-BB34</f>
        <v>0</v>
      </c>
      <c r="BC50" s="241">
        <f t="shared" si="105"/>
        <v>0</v>
      </c>
      <c r="BD50" s="241">
        <f t="shared" ref="BD50:BE50" si="106">+BD12-BD34</f>
        <v>0</v>
      </c>
      <c r="BE50" s="241">
        <f t="shared" si="106"/>
        <v>0</v>
      </c>
      <c r="BF50" s="241">
        <f t="shared" ref="BF50:BG50" si="107">+BF12-BF34</f>
        <v>0</v>
      </c>
      <c r="BG50" s="241">
        <f t="shared" si="107"/>
        <v>0</v>
      </c>
      <c r="BH50" s="241">
        <f t="shared" ref="BH50:BI50" si="108">+BH12-BH34</f>
        <v>0</v>
      </c>
      <c r="BI50" s="241">
        <f t="shared" si="108"/>
        <v>0</v>
      </c>
      <c r="BJ50" s="241">
        <f>+BJ12-BJ34</f>
        <v>0</v>
      </c>
      <c r="BK50" s="241">
        <f>+BK12-BK34</f>
        <v>0</v>
      </c>
    </row>
    <row r="51" spans="1:63" s="216" customFormat="1" x14ac:dyDescent="0.2">
      <c r="A51" s="238" t="s">
        <v>100</v>
      </c>
      <c r="B51" s="241"/>
      <c r="C51" s="241">
        <v>201033516</v>
      </c>
      <c r="D51" s="241">
        <v>1880546498</v>
      </c>
      <c r="E51" s="241">
        <v>2643520739</v>
      </c>
      <c r="F51" s="241">
        <v>-934467000</v>
      </c>
      <c r="G51" s="241">
        <v>7655835000</v>
      </c>
      <c r="H51" s="241">
        <v>1154551185</v>
      </c>
      <c r="I51" s="241">
        <v>-1542606110</v>
      </c>
      <c r="J51" s="241"/>
      <c r="K51" s="241">
        <v>-37816547</v>
      </c>
      <c r="L51" s="241">
        <v>-23807089</v>
      </c>
      <c r="M51" s="241">
        <v>10438406</v>
      </c>
      <c r="N51" s="241"/>
      <c r="O51" s="241">
        <v>20333447</v>
      </c>
      <c r="P51" s="241">
        <v>4152740000</v>
      </c>
      <c r="Q51" s="241">
        <v>6274223000</v>
      </c>
      <c r="R51" s="241"/>
      <c r="S51" s="241">
        <v>7554000</v>
      </c>
      <c r="T51" s="241">
        <v>389359639</v>
      </c>
      <c r="U51" s="241">
        <v>314568204</v>
      </c>
      <c r="V51" s="241">
        <v>175593875</v>
      </c>
      <c r="W51" s="241">
        <v>106321985</v>
      </c>
      <c r="X51" s="241"/>
      <c r="Y51" s="241">
        <v>212972000</v>
      </c>
      <c r="Z51" s="241">
        <v>64736733</v>
      </c>
      <c r="AA51" s="241">
        <v>189933131</v>
      </c>
      <c r="AB51" s="241">
        <v>11006212</v>
      </c>
      <c r="AC51" s="241">
        <v>55040999</v>
      </c>
      <c r="AD51" s="241"/>
      <c r="AE51" s="241">
        <v>113732484</v>
      </c>
      <c r="AF51" s="241"/>
      <c r="AG51" s="241">
        <v>2897540</v>
      </c>
      <c r="AH51" s="241">
        <v>81342000</v>
      </c>
      <c r="AI51" s="241">
        <v>109812000</v>
      </c>
      <c r="AJ51" s="241">
        <v>63334520</v>
      </c>
      <c r="AK51" s="241">
        <v>72482478</v>
      </c>
      <c r="AL51" s="241"/>
      <c r="AM51" s="241">
        <v>441067503</v>
      </c>
      <c r="AN51" s="241">
        <v>680846907</v>
      </c>
      <c r="AO51" s="241">
        <v>683598222</v>
      </c>
      <c r="AP51" s="241"/>
      <c r="AQ51" s="241">
        <v>340000</v>
      </c>
      <c r="AR51" s="241"/>
      <c r="AS51" s="241">
        <v>1238289575</v>
      </c>
      <c r="AT51" s="241">
        <v>635231000</v>
      </c>
      <c r="AU51" s="241">
        <v>295294000</v>
      </c>
      <c r="AV51" s="241">
        <v>-1828650</v>
      </c>
      <c r="AW51" s="241">
        <v>2391848</v>
      </c>
      <c r="AX51" s="241">
        <v>2449046</v>
      </c>
      <c r="AY51" s="241">
        <v>-126930596</v>
      </c>
      <c r="AZ51" s="241">
        <v>24630000</v>
      </c>
      <c r="BA51" s="241">
        <v>81438970</v>
      </c>
      <c r="BB51" s="241"/>
      <c r="BC51" s="241">
        <v>204825067</v>
      </c>
      <c r="BD51" s="241">
        <v>151540671</v>
      </c>
      <c r="BE51" s="241">
        <v>168744301</v>
      </c>
      <c r="BF51" s="241">
        <v>118754030</v>
      </c>
      <c r="BG51" s="241">
        <v>100765569</v>
      </c>
      <c r="BH51" s="241"/>
      <c r="BI51" s="241">
        <v>18752000</v>
      </c>
      <c r="BJ51" s="241">
        <v>8626559577</v>
      </c>
      <c r="BK51" s="241">
        <v>19518852731</v>
      </c>
    </row>
    <row r="52" spans="1:63" s="216" customFormat="1" x14ac:dyDescent="0.2">
      <c r="A52" s="238" t="s">
        <v>101</v>
      </c>
      <c r="B52" s="241">
        <f t="shared" ref="B52:AO52" si="109">+B46-B51</f>
        <v>0</v>
      </c>
      <c r="C52" s="241">
        <f t="shared" si="109"/>
        <v>0</v>
      </c>
      <c r="D52" s="241">
        <f t="shared" si="109"/>
        <v>0</v>
      </c>
      <c r="E52" s="241">
        <f t="shared" si="109"/>
        <v>0</v>
      </c>
      <c r="F52" s="241">
        <f t="shared" si="109"/>
        <v>0</v>
      </c>
      <c r="G52" s="241">
        <f t="shared" si="109"/>
        <v>0</v>
      </c>
      <c r="H52" s="241">
        <f t="shared" si="109"/>
        <v>0</v>
      </c>
      <c r="I52" s="241">
        <f t="shared" si="109"/>
        <v>0</v>
      </c>
      <c r="J52" s="241">
        <f t="shared" si="109"/>
        <v>0</v>
      </c>
      <c r="K52" s="241">
        <f t="shared" si="109"/>
        <v>0</v>
      </c>
      <c r="L52" s="241">
        <f t="shared" si="109"/>
        <v>0</v>
      </c>
      <c r="M52" s="241">
        <f t="shared" si="109"/>
        <v>0</v>
      </c>
      <c r="N52" s="241">
        <f t="shared" si="109"/>
        <v>0</v>
      </c>
      <c r="O52" s="241">
        <f t="shared" si="109"/>
        <v>0</v>
      </c>
      <c r="P52" s="241">
        <f t="shared" si="109"/>
        <v>0</v>
      </c>
      <c r="Q52" s="241">
        <f t="shared" si="109"/>
        <v>0</v>
      </c>
      <c r="R52" s="241">
        <f t="shared" si="109"/>
        <v>0</v>
      </c>
      <c r="S52" s="241">
        <f t="shared" si="109"/>
        <v>0</v>
      </c>
      <c r="T52" s="241">
        <f t="shared" si="109"/>
        <v>0</v>
      </c>
      <c r="U52" s="241">
        <f t="shared" si="109"/>
        <v>0</v>
      </c>
      <c r="V52" s="241">
        <f t="shared" si="109"/>
        <v>0</v>
      </c>
      <c r="W52" s="241">
        <f t="shared" si="109"/>
        <v>0</v>
      </c>
      <c r="X52" s="241">
        <f t="shared" si="109"/>
        <v>0</v>
      </c>
      <c r="Y52" s="241">
        <f t="shared" si="109"/>
        <v>0</v>
      </c>
      <c r="Z52" s="241">
        <f t="shared" si="109"/>
        <v>0</v>
      </c>
      <c r="AA52" s="241">
        <f t="shared" si="109"/>
        <v>0</v>
      </c>
      <c r="AB52" s="241">
        <f t="shared" si="109"/>
        <v>0</v>
      </c>
      <c r="AC52" s="241">
        <f t="shared" si="109"/>
        <v>0</v>
      </c>
      <c r="AD52" s="241">
        <f t="shared" si="109"/>
        <v>0</v>
      </c>
      <c r="AE52" s="241">
        <f t="shared" si="109"/>
        <v>0</v>
      </c>
      <c r="AF52" s="241">
        <f t="shared" si="109"/>
        <v>0</v>
      </c>
      <c r="AG52" s="241">
        <f t="shared" si="109"/>
        <v>0</v>
      </c>
      <c r="AH52" s="241">
        <f t="shared" si="109"/>
        <v>0</v>
      </c>
      <c r="AI52" s="241">
        <f t="shared" si="109"/>
        <v>0</v>
      </c>
      <c r="AJ52" s="241">
        <f t="shared" si="109"/>
        <v>0</v>
      </c>
      <c r="AK52" s="241">
        <f t="shared" si="109"/>
        <v>0</v>
      </c>
      <c r="AL52" s="241">
        <f t="shared" si="109"/>
        <v>0</v>
      </c>
      <c r="AM52" s="241">
        <f t="shared" si="109"/>
        <v>0</v>
      </c>
      <c r="AN52" s="241">
        <f t="shared" si="109"/>
        <v>0</v>
      </c>
      <c r="AO52" s="241">
        <f t="shared" si="109"/>
        <v>0</v>
      </c>
      <c r="AP52" s="241">
        <f t="shared" ref="AP52:AQ52" si="110">+AP46-AP51</f>
        <v>0</v>
      </c>
      <c r="AQ52" s="241">
        <f t="shared" si="110"/>
        <v>0</v>
      </c>
      <c r="AR52" s="241">
        <f t="shared" ref="AR52:AS52" si="111">+AR46-AR51</f>
        <v>0</v>
      </c>
      <c r="AS52" s="241">
        <f t="shared" si="111"/>
        <v>0</v>
      </c>
      <c r="AT52" s="241">
        <f t="shared" ref="AT52:AU52" si="112">+AT46-AT51</f>
        <v>0</v>
      </c>
      <c r="AU52" s="241">
        <f t="shared" si="112"/>
        <v>0</v>
      </c>
      <c r="AV52" s="241">
        <f t="shared" ref="AV52:AW52" si="113">+AV46-AV51</f>
        <v>0</v>
      </c>
      <c r="AW52" s="241">
        <f t="shared" si="113"/>
        <v>0</v>
      </c>
      <c r="AX52" s="241">
        <f t="shared" ref="AX52:AY52" si="114">+AX46-AX51</f>
        <v>0</v>
      </c>
      <c r="AY52" s="241">
        <f t="shared" si="114"/>
        <v>0</v>
      </c>
      <c r="AZ52" s="241">
        <f t="shared" ref="AZ52:BA52" si="115">+AZ46-AZ51</f>
        <v>0</v>
      </c>
      <c r="BA52" s="241">
        <f t="shared" si="115"/>
        <v>0</v>
      </c>
      <c r="BB52" s="241">
        <f t="shared" ref="BB52:BC52" si="116">+BB46-BB51</f>
        <v>0</v>
      </c>
      <c r="BC52" s="241">
        <f t="shared" si="116"/>
        <v>0</v>
      </c>
      <c r="BD52" s="241">
        <f t="shared" ref="BD52:BE52" si="117">+BD46-BD51</f>
        <v>0</v>
      </c>
      <c r="BE52" s="241">
        <f t="shared" si="117"/>
        <v>0</v>
      </c>
      <c r="BF52" s="241">
        <f t="shared" ref="BF52:BG52" si="118">+BF46-BF51</f>
        <v>0</v>
      </c>
      <c r="BG52" s="241">
        <f t="shared" si="118"/>
        <v>0</v>
      </c>
      <c r="BH52" s="241">
        <f t="shared" ref="BH52:BI52" si="119">+BH46-BH51</f>
        <v>0</v>
      </c>
      <c r="BI52" s="241">
        <f t="shared" si="119"/>
        <v>0</v>
      </c>
      <c r="BJ52" s="241">
        <f>+BJ46-BJ51</f>
        <v>0</v>
      </c>
      <c r="BK52" s="241">
        <f>+BK46-BK51</f>
        <v>0</v>
      </c>
    </row>
    <row r="54" spans="1:63" s="238" customFormat="1" x14ac:dyDescent="0.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95"/>
      <c r="BB54" s="232"/>
      <c r="BC54" s="232"/>
      <c r="BD54" s="232"/>
      <c r="BE54" s="232"/>
      <c r="BF54" s="232"/>
      <c r="BG54" s="232"/>
      <c r="BH54" s="232"/>
      <c r="BI54" s="232"/>
      <c r="BJ54" s="232"/>
      <c r="BK54" s="232"/>
    </row>
    <row r="55" spans="1:63" s="238" customFormat="1" x14ac:dyDescent="0.2">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row>
    <row r="56" spans="1:63" s="216" customFormat="1" ht="15" x14ac:dyDescent="0.2">
      <c r="A56" s="306" t="s">
        <v>196</v>
      </c>
      <c r="B56" s="214"/>
      <c r="C56" s="224"/>
      <c r="E56" s="224"/>
      <c r="G56" s="224"/>
      <c r="I56" s="224"/>
      <c r="K56" s="224"/>
      <c r="M56" s="224"/>
      <c r="O56" s="224"/>
      <c r="Q56" s="224"/>
      <c r="S56" s="224"/>
      <c r="U56" s="224"/>
      <c r="W56" s="224"/>
      <c r="Y56" s="224"/>
      <c r="AA56" s="224"/>
      <c r="AC56" s="22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row>
    <row r="58" spans="1:63" x14ac:dyDescent="0.2">
      <c r="A58" s="207" t="s">
        <v>105</v>
      </c>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row>
    <row r="59" spans="1:63" ht="24" x14ac:dyDescent="0.2">
      <c r="A59" s="249" t="s">
        <v>195</v>
      </c>
      <c r="B59" s="206">
        <f t="shared" ref="B59:AG59" si="120">IFERROR(B10/B14,0)</f>
        <v>0</v>
      </c>
      <c r="C59" s="206">
        <f t="shared" si="120"/>
        <v>4.9273971647755808</v>
      </c>
      <c r="D59" s="206">
        <f t="shared" si="120"/>
        <v>7.4851908347166587</v>
      </c>
      <c r="E59" s="206">
        <f t="shared" si="120"/>
        <v>6.4868615848350979</v>
      </c>
      <c r="F59" s="206">
        <f t="shared" si="120"/>
        <v>0.8895549350103773</v>
      </c>
      <c r="G59" s="206">
        <f t="shared" si="120"/>
        <v>0.86820920272571522</v>
      </c>
      <c r="H59" s="206">
        <f t="shared" si="120"/>
        <v>1.4939082689401983</v>
      </c>
      <c r="I59" s="206">
        <f t="shared" si="120"/>
        <v>3.7504474607979983</v>
      </c>
      <c r="J59" s="206">
        <f t="shared" si="120"/>
        <v>0</v>
      </c>
      <c r="K59" s="206">
        <f t="shared" si="120"/>
        <v>1.3831525107300811</v>
      </c>
      <c r="L59" s="206">
        <f t="shared" si="120"/>
        <v>3.7692447710494443</v>
      </c>
      <c r="M59" s="206">
        <f t="shared" si="120"/>
        <v>2.4508152766726812</v>
      </c>
      <c r="N59" s="206">
        <f t="shared" si="120"/>
        <v>0</v>
      </c>
      <c r="O59" s="206">
        <f t="shared" si="120"/>
        <v>1.2657902475114469</v>
      </c>
      <c r="P59" s="206">
        <f t="shared" si="120"/>
        <v>1.0504768672898144</v>
      </c>
      <c r="Q59" s="206">
        <f t="shared" si="120"/>
        <v>1.726474821312691</v>
      </c>
      <c r="R59" s="206">
        <f t="shared" si="120"/>
        <v>0</v>
      </c>
      <c r="S59" s="206">
        <f t="shared" si="120"/>
        <v>0.92379999999999995</v>
      </c>
      <c r="T59" s="206">
        <f t="shared" si="120"/>
        <v>1.1568395492901902</v>
      </c>
      <c r="U59" s="206">
        <f t="shared" si="120"/>
        <v>1.1198817928745761</v>
      </c>
      <c r="V59" s="206">
        <f t="shared" si="120"/>
        <v>2.55017574099314</v>
      </c>
      <c r="W59" s="206">
        <f t="shared" si="120"/>
        <v>2.8099431947642231</v>
      </c>
      <c r="X59" s="206">
        <f t="shared" si="120"/>
        <v>0</v>
      </c>
      <c r="Y59" s="206">
        <f t="shared" si="120"/>
        <v>2.953310945635355</v>
      </c>
      <c r="Z59" s="206">
        <f t="shared" si="120"/>
        <v>3.3906263133867167</v>
      </c>
      <c r="AA59" s="206">
        <f t="shared" si="120"/>
        <v>3.5156172140938566</v>
      </c>
      <c r="AB59" s="206">
        <f t="shared" si="120"/>
        <v>1.4935939293246514</v>
      </c>
      <c r="AC59" s="206">
        <f t="shared" si="120"/>
        <v>1.4460668485323442</v>
      </c>
      <c r="AD59" s="206">
        <f t="shared" si="120"/>
        <v>0</v>
      </c>
      <c r="AE59" s="206">
        <f t="shared" si="120"/>
        <v>3.5400008547412831</v>
      </c>
      <c r="AF59" s="206">
        <f t="shared" si="120"/>
        <v>0</v>
      </c>
      <c r="AG59" s="206">
        <f t="shared" si="120"/>
        <v>1.8082891537294628</v>
      </c>
      <c r="AH59" s="206">
        <f t="shared" ref="AH59:BK59" si="121">IFERROR(AH10/AH14,0)</f>
        <v>20.48310572837374</v>
      </c>
      <c r="AI59" s="206">
        <f t="shared" si="121"/>
        <v>31.800676284941389</v>
      </c>
      <c r="AJ59" s="206">
        <f t="shared" si="121"/>
        <v>1.7536298992125903</v>
      </c>
      <c r="AK59" s="206">
        <f t="shared" si="121"/>
        <v>2.6569381156518697</v>
      </c>
      <c r="AL59" s="206">
        <f t="shared" si="121"/>
        <v>0</v>
      </c>
      <c r="AM59" s="206">
        <f t="shared" si="121"/>
        <v>1.2618071931618131</v>
      </c>
      <c r="AN59" s="206">
        <f t="shared" si="121"/>
        <v>3.5615180270366613</v>
      </c>
      <c r="AO59" s="206">
        <f t="shared" si="121"/>
        <v>3.6098560333697538</v>
      </c>
      <c r="AP59" s="206">
        <f t="shared" si="121"/>
        <v>0</v>
      </c>
      <c r="AQ59" s="206">
        <f t="shared" si="121"/>
        <v>1.1737002045618474</v>
      </c>
      <c r="AR59" s="206">
        <f t="shared" si="121"/>
        <v>0</v>
      </c>
      <c r="AS59" s="206">
        <f t="shared" si="121"/>
        <v>25.952693151062487</v>
      </c>
      <c r="AT59" s="206">
        <f t="shared" si="121"/>
        <v>2.4880015837626619</v>
      </c>
      <c r="AU59" s="206">
        <f t="shared" si="121"/>
        <v>1.7120110948072438</v>
      </c>
      <c r="AV59" s="206">
        <f t="shared" si="121"/>
        <v>0.27163292562620717</v>
      </c>
      <c r="AW59" s="206">
        <f t="shared" si="121"/>
        <v>0.3335647032406972</v>
      </c>
      <c r="AX59" s="206">
        <f t="shared" si="121"/>
        <v>1.4778468463305017</v>
      </c>
      <c r="AY59" s="206">
        <f t="shared" si="121"/>
        <v>1.2112794396200561</v>
      </c>
      <c r="AZ59" s="206">
        <f t="shared" si="121"/>
        <v>23.357575757575759</v>
      </c>
      <c r="BA59" s="206">
        <f t="shared" si="121"/>
        <v>8.0050805607702937</v>
      </c>
      <c r="BB59" s="206">
        <f t="shared" si="121"/>
        <v>0</v>
      </c>
      <c r="BC59" s="206">
        <f t="shared" si="121"/>
        <v>2.7013502739945245</v>
      </c>
      <c r="BD59" s="206">
        <f t="shared" ref="BD59:BE59" si="122">IFERROR(BD10/BD14,0)</f>
        <v>2.3282173265154107</v>
      </c>
      <c r="BE59" s="206">
        <f t="shared" si="122"/>
        <v>2.4009354246177996</v>
      </c>
      <c r="BF59" s="206">
        <f t="shared" ref="BF59:BG59" si="123">IFERROR(BF10/BF14,0)</f>
        <v>3.2498491236545908</v>
      </c>
      <c r="BG59" s="206">
        <f t="shared" si="123"/>
        <v>4.0207754765628376</v>
      </c>
      <c r="BH59" s="206">
        <f t="shared" ref="BH59:BI59" si="124">IFERROR(BH10/BH14,0)</f>
        <v>0</v>
      </c>
      <c r="BI59" s="206">
        <f t="shared" si="124"/>
        <v>1.2786479133503965</v>
      </c>
      <c r="BJ59" s="206">
        <f t="shared" si="121"/>
        <v>1.5116517813611496</v>
      </c>
      <c r="BK59" s="206">
        <f t="shared" si="121"/>
        <v>1.8268439797428726</v>
      </c>
    </row>
    <row r="60" spans="1:63" x14ac:dyDescent="0.2">
      <c r="A60" s="207" t="s">
        <v>106</v>
      </c>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c r="BI60" s="208"/>
      <c r="BJ60" s="208"/>
      <c r="BK60" s="208"/>
    </row>
    <row r="61" spans="1:63" x14ac:dyDescent="0.2">
      <c r="A61" s="96" t="s">
        <v>74</v>
      </c>
      <c r="B61" s="87">
        <f t="shared" ref="B61:AG61" si="125">IFERROR(B14/B16,0)</f>
        <v>0</v>
      </c>
      <c r="C61" s="87">
        <f t="shared" si="125"/>
        <v>1</v>
      </c>
      <c r="D61" s="87">
        <f t="shared" si="125"/>
        <v>0.22052353585107501</v>
      </c>
      <c r="E61" s="87">
        <f t="shared" si="125"/>
        <v>0.36415576186109</v>
      </c>
      <c r="F61" s="87">
        <f t="shared" si="125"/>
        <v>0.68913974924806209</v>
      </c>
      <c r="G61" s="87">
        <f t="shared" si="125"/>
        <v>0.89049021344951684</v>
      </c>
      <c r="H61" s="87">
        <f t="shared" si="125"/>
        <v>0.79357122037624406</v>
      </c>
      <c r="I61" s="87">
        <f t="shared" si="125"/>
        <v>0.12512551869713537</v>
      </c>
      <c r="J61" s="87">
        <f t="shared" si="125"/>
        <v>0</v>
      </c>
      <c r="K61" s="87">
        <f t="shared" si="125"/>
        <v>0.46605706357696036</v>
      </c>
      <c r="L61" s="87">
        <f t="shared" si="125"/>
        <v>0.48807162370741586</v>
      </c>
      <c r="M61" s="87">
        <f t="shared" si="125"/>
        <v>0.79709554222882373</v>
      </c>
      <c r="N61" s="87">
        <f t="shared" si="125"/>
        <v>0</v>
      </c>
      <c r="O61" s="87">
        <f t="shared" si="125"/>
        <v>1</v>
      </c>
      <c r="P61" s="87">
        <f t="shared" si="125"/>
        <v>0.72275928913068144</v>
      </c>
      <c r="Q61" s="87">
        <f t="shared" si="125"/>
        <v>0.65244867446348509</v>
      </c>
      <c r="R61" s="87">
        <f t="shared" si="125"/>
        <v>0</v>
      </c>
      <c r="S61" s="87">
        <f t="shared" si="125"/>
        <v>1</v>
      </c>
      <c r="T61" s="87">
        <f t="shared" si="125"/>
        <v>0.56322079076708675</v>
      </c>
      <c r="U61" s="87">
        <f t="shared" si="125"/>
        <v>0.57741468856999689</v>
      </c>
      <c r="V61" s="87">
        <f t="shared" si="125"/>
        <v>0.83705434308830307</v>
      </c>
      <c r="W61" s="87">
        <f t="shared" si="125"/>
        <v>0.65981090851649271</v>
      </c>
      <c r="X61" s="87">
        <f t="shared" si="125"/>
        <v>0</v>
      </c>
      <c r="Y61" s="87">
        <f t="shared" si="125"/>
        <v>0.59252584807392916</v>
      </c>
      <c r="Z61" s="87">
        <f t="shared" si="125"/>
        <v>1</v>
      </c>
      <c r="AA61" s="87">
        <f t="shared" si="125"/>
        <v>1</v>
      </c>
      <c r="AB61" s="87">
        <f t="shared" si="125"/>
        <v>1</v>
      </c>
      <c r="AC61" s="87">
        <f t="shared" si="125"/>
        <v>1</v>
      </c>
      <c r="AD61" s="87">
        <f t="shared" si="125"/>
        <v>0</v>
      </c>
      <c r="AE61" s="87">
        <f t="shared" si="125"/>
        <v>1</v>
      </c>
      <c r="AF61" s="87">
        <f t="shared" si="125"/>
        <v>0</v>
      </c>
      <c r="AG61" s="87">
        <f t="shared" si="125"/>
        <v>1</v>
      </c>
      <c r="AH61" s="87">
        <f t="shared" ref="AH61:BK61" si="126">IFERROR(AH14/AH16,0)</f>
        <v>7.7772279852262885E-2</v>
      </c>
      <c r="AI61" s="87">
        <f t="shared" si="126"/>
        <v>4.3287762131990593E-2</v>
      </c>
      <c r="AJ61" s="87">
        <f t="shared" si="126"/>
        <v>1</v>
      </c>
      <c r="AK61" s="87">
        <f t="shared" si="126"/>
        <v>1</v>
      </c>
      <c r="AL61" s="87">
        <f t="shared" si="126"/>
        <v>0</v>
      </c>
      <c r="AM61" s="87">
        <f t="shared" si="126"/>
        <v>0.98577041201659021</v>
      </c>
      <c r="AN61" s="87">
        <f t="shared" si="126"/>
        <v>0.34585323573127613</v>
      </c>
      <c r="AO61" s="87">
        <f t="shared" si="126"/>
        <v>0.33480322982746397</v>
      </c>
      <c r="AP61" s="87">
        <f t="shared" si="126"/>
        <v>0</v>
      </c>
      <c r="AQ61" s="87">
        <f t="shared" si="126"/>
        <v>0.2245478296887114</v>
      </c>
      <c r="AR61" s="87">
        <f t="shared" si="126"/>
        <v>0</v>
      </c>
      <c r="AS61" s="87">
        <f t="shared" si="126"/>
        <v>1</v>
      </c>
      <c r="AT61" s="87">
        <f t="shared" si="126"/>
        <v>0.92539377205494266</v>
      </c>
      <c r="AU61" s="87">
        <f t="shared" si="126"/>
        <v>0.90752257858935392</v>
      </c>
      <c r="AV61" s="87">
        <f t="shared" si="126"/>
        <v>1</v>
      </c>
      <c r="AW61" s="87">
        <f t="shared" si="126"/>
        <v>1</v>
      </c>
      <c r="AX61" s="87">
        <f t="shared" si="126"/>
        <v>0.45141916985891251</v>
      </c>
      <c r="AY61" s="87">
        <f t="shared" si="126"/>
        <v>0.48083752153013637</v>
      </c>
      <c r="AZ61" s="87">
        <f t="shared" si="126"/>
        <v>1</v>
      </c>
      <c r="BA61" s="87">
        <f t="shared" si="126"/>
        <v>1</v>
      </c>
      <c r="BB61" s="87">
        <f t="shared" si="126"/>
        <v>0</v>
      </c>
      <c r="BC61" s="87">
        <f t="shared" si="126"/>
        <v>0.18155245257971936</v>
      </c>
      <c r="BD61" s="87">
        <f t="shared" ref="BD61:BE61" si="127">IFERROR(BD14/BD16,0)</f>
        <v>0.83535164363308467</v>
      </c>
      <c r="BE61" s="87">
        <f t="shared" si="127"/>
        <v>0.60721546184721553</v>
      </c>
      <c r="BF61" s="87">
        <f t="shared" ref="BF61:BG61" si="128">IFERROR(BF14/BF16,0)</f>
        <v>1</v>
      </c>
      <c r="BG61" s="87">
        <f t="shared" si="128"/>
        <v>1</v>
      </c>
      <c r="BH61" s="87">
        <f t="shared" ref="BH61:BI61" si="129">IFERROR(BH14/BH16,0)</f>
        <v>0</v>
      </c>
      <c r="BI61" s="87">
        <f t="shared" si="129"/>
        <v>1</v>
      </c>
      <c r="BJ61" s="87">
        <f t="shared" si="126"/>
        <v>0.61603322951649819</v>
      </c>
      <c r="BK61" s="87">
        <f t="shared" si="126"/>
        <v>0.64893467047980069</v>
      </c>
    </row>
    <row r="62" spans="1:63" x14ac:dyDescent="0.2">
      <c r="A62" s="96" t="s">
        <v>75</v>
      </c>
      <c r="B62" s="86">
        <f t="shared" ref="B62:AG62" si="130">IFERROR(B16/B33,0)</f>
        <v>0</v>
      </c>
      <c r="C62" s="86">
        <f t="shared" si="130"/>
        <v>0.12298126095370437</v>
      </c>
      <c r="D62" s="86">
        <f t="shared" si="130"/>
        <v>0.98297287594153404</v>
      </c>
      <c r="E62" s="86">
        <f t="shared" si="130"/>
        <v>0.55537556828007439</v>
      </c>
      <c r="F62" s="86">
        <f t="shared" si="130"/>
        <v>0.58805784349661661</v>
      </c>
      <c r="G62" s="86">
        <f t="shared" si="130"/>
        <v>0.3863101412165062</v>
      </c>
      <c r="H62" s="86">
        <f t="shared" si="130"/>
        <v>1.329659946015977</v>
      </c>
      <c r="I62" s="86">
        <f t="shared" si="130"/>
        <v>2.7943711303716436</v>
      </c>
      <c r="J62" s="86">
        <f t="shared" si="130"/>
        <v>0</v>
      </c>
      <c r="K62" s="86">
        <f t="shared" si="130"/>
        <v>2.5219601188787659</v>
      </c>
      <c r="L62" s="86">
        <f t="shared" si="130"/>
        <v>0.3520116591763261</v>
      </c>
      <c r="M62" s="86">
        <f t="shared" si="130"/>
        <v>0.37892834519504115</v>
      </c>
      <c r="N62" s="86">
        <f t="shared" si="130"/>
        <v>0</v>
      </c>
      <c r="O62" s="86">
        <f t="shared" si="130"/>
        <v>2.9966001084373466</v>
      </c>
      <c r="P62" s="86">
        <f t="shared" si="130"/>
        <v>0.88930624514476631</v>
      </c>
      <c r="Q62" s="86">
        <f t="shared" si="130"/>
        <v>0.43282206719348226</v>
      </c>
      <c r="R62" s="86">
        <f t="shared" si="130"/>
        <v>0</v>
      </c>
      <c r="S62" s="86">
        <f t="shared" si="130"/>
        <v>2.6138108117461312E-2</v>
      </c>
      <c r="T62" s="86">
        <f t="shared" si="130"/>
        <v>0.59175841397668771</v>
      </c>
      <c r="U62" s="86">
        <f t="shared" si="130"/>
        <v>0.58099834931242589</v>
      </c>
      <c r="V62" s="86">
        <f t="shared" si="130"/>
        <v>0.3571396477879889</v>
      </c>
      <c r="W62" s="86">
        <f t="shared" si="130"/>
        <v>0.56013047350082934</v>
      </c>
      <c r="X62" s="86">
        <f t="shared" si="130"/>
        <v>0</v>
      </c>
      <c r="Y62" s="86">
        <f t="shared" si="130"/>
        <v>0.462392296714492</v>
      </c>
      <c r="Z62" s="86">
        <f t="shared" si="130"/>
        <v>0.28496577181138583</v>
      </c>
      <c r="AA62" s="86">
        <f t="shared" si="130"/>
        <v>0.31898055144389925</v>
      </c>
      <c r="AB62" s="86">
        <f t="shared" si="130"/>
        <v>0.11602548353706897</v>
      </c>
      <c r="AC62" s="86">
        <f t="shared" si="130"/>
        <v>0.30366208038736331</v>
      </c>
      <c r="AD62" s="86">
        <f t="shared" si="130"/>
        <v>0</v>
      </c>
      <c r="AE62" s="86">
        <f t="shared" si="130"/>
        <v>0.38611135590944495</v>
      </c>
      <c r="AF62" s="86">
        <f t="shared" si="130"/>
        <v>0</v>
      </c>
      <c r="AG62" s="86">
        <f t="shared" si="130"/>
        <v>0.2004650686192346</v>
      </c>
      <c r="AH62" s="86">
        <f t="shared" ref="AH62:BK62" si="131">IFERROR(AH16/AH33,0)</f>
        <v>1.6862899356619017</v>
      </c>
      <c r="AI62" s="86">
        <f t="shared" si="131"/>
        <v>2.6554774713144065</v>
      </c>
      <c r="AJ62" s="86">
        <f t="shared" si="131"/>
        <v>9.2636197416348251E-2</v>
      </c>
      <c r="AK62" s="86">
        <f t="shared" si="131"/>
        <v>5.6390698360265022E-2</v>
      </c>
      <c r="AL62" s="86">
        <f t="shared" si="131"/>
        <v>0</v>
      </c>
      <c r="AM62" s="86">
        <f t="shared" si="131"/>
        <v>0.9796399773451534</v>
      </c>
      <c r="AN62" s="86">
        <f t="shared" si="131"/>
        <v>1.2962908131991555</v>
      </c>
      <c r="AO62" s="86">
        <f t="shared" si="131"/>
        <v>1.2383438925243258</v>
      </c>
      <c r="AP62" s="86">
        <f t="shared" si="131"/>
        <v>0</v>
      </c>
      <c r="AQ62" s="86">
        <f t="shared" si="131"/>
        <v>1.6445129485942338</v>
      </c>
      <c r="AR62" s="86">
        <f t="shared" si="131"/>
        <v>0</v>
      </c>
      <c r="AS62" s="86">
        <f t="shared" si="131"/>
        <v>2.0440072212586941E-2</v>
      </c>
      <c r="AT62" s="86">
        <f t="shared" si="131"/>
        <v>0.11042634949944193</v>
      </c>
      <c r="AU62" s="86">
        <f t="shared" si="131"/>
        <v>0.16713476303021318</v>
      </c>
      <c r="AV62" s="86">
        <f t="shared" si="131"/>
        <v>-2.0561637028568849</v>
      </c>
      <c r="AW62" s="86">
        <f t="shared" si="131"/>
        <v>-2.2464214710856485</v>
      </c>
      <c r="AX62" s="86">
        <f t="shared" si="131"/>
        <v>0.6904538403992172</v>
      </c>
      <c r="AY62" s="86">
        <f t="shared" si="131"/>
        <v>0.76174302943001237</v>
      </c>
      <c r="AZ62" s="86">
        <f t="shared" si="131"/>
        <v>2.4741483220199201E-2</v>
      </c>
      <c r="BA62" s="86">
        <f t="shared" si="131"/>
        <v>7.9987491719071907E-2</v>
      </c>
      <c r="BB62" s="86">
        <f t="shared" si="131"/>
        <v>0</v>
      </c>
      <c r="BC62" s="86">
        <f t="shared" si="131"/>
        <v>0.77573044695710403</v>
      </c>
      <c r="BD62" s="86">
        <f t="shared" ref="BD62:BE62" si="132">IFERROR(BD16/BD33,0)</f>
        <v>0.44423698976511172</v>
      </c>
      <c r="BE62" s="86">
        <f t="shared" si="132"/>
        <v>0.50051661623176602</v>
      </c>
      <c r="BF62" s="86">
        <f t="shared" ref="BF62:BG62" si="133">IFERROR(BF16/BF33,0)</f>
        <v>0.26324307655239498</v>
      </c>
      <c r="BG62" s="86">
        <f t="shared" si="133"/>
        <v>0.18752370875840582</v>
      </c>
      <c r="BH62" s="86">
        <f t="shared" ref="BH62:BI62" si="134">IFERROR(BH16/BH33,0)</f>
        <v>0</v>
      </c>
      <c r="BI62" s="86">
        <f t="shared" si="134"/>
        <v>0.6501959377507549</v>
      </c>
      <c r="BJ62" s="86">
        <f t="shared" si="131"/>
        <v>0.68322128905498503</v>
      </c>
      <c r="BK62" s="86">
        <f t="shared" si="131"/>
        <v>0.47928736592210897</v>
      </c>
    </row>
    <row r="63" spans="1:63" x14ac:dyDescent="0.2">
      <c r="A63" s="97" t="s">
        <v>76</v>
      </c>
      <c r="B63" s="86">
        <f t="shared" ref="B63:AG63" si="135">IFERROR(B15/B33,0)</f>
        <v>0</v>
      </c>
      <c r="C63" s="86">
        <f t="shared" si="135"/>
        <v>0</v>
      </c>
      <c r="D63" s="86">
        <f t="shared" si="135"/>
        <v>0.7662042216932069</v>
      </c>
      <c r="E63" s="86">
        <f t="shared" si="135"/>
        <v>0.35313235509400809</v>
      </c>
      <c r="F63" s="86">
        <f t="shared" si="135"/>
        <v>0.18280380868600207</v>
      </c>
      <c r="G63" s="86">
        <f t="shared" si="135"/>
        <v>4.2304741106906608E-2</v>
      </c>
      <c r="H63" s="86">
        <f t="shared" si="135"/>
        <v>0.27448007997066726</v>
      </c>
      <c r="I63" s="86">
        <f t="shared" si="135"/>
        <v>2.4447239932515914</v>
      </c>
      <c r="J63" s="86">
        <f t="shared" si="135"/>
        <v>0</v>
      </c>
      <c r="K63" s="86">
        <f t="shared" si="135"/>
        <v>1.3465827914159263</v>
      </c>
      <c r="L63" s="86">
        <f t="shared" si="135"/>
        <v>0.18020475711819514</v>
      </c>
      <c r="M63" s="86">
        <f t="shared" si="135"/>
        <v>7.688625041592892E-2</v>
      </c>
      <c r="N63" s="86">
        <f t="shared" si="135"/>
        <v>0</v>
      </c>
      <c r="O63" s="86">
        <f t="shared" si="135"/>
        <v>0</v>
      </c>
      <c r="P63" s="86">
        <f t="shared" si="135"/>
        <v>0.2465518955844595</v>
      </c>
      <c r="Q63" s="86">
        <f t="shared" si="135"/>
        <v>0.15042788317454928</v>
      </c>
      <c r="R63" s="86">
        <f t="shared" si="135"/>
        <v>0</v>
      </c>
      <c r="S63" s="86">
        <f t="shared" si="135"/>
        <v>0</v>
      </c>
      <c r="T63" s="86">
        <f t="shared" si="135"/>
        <v>0.25846777211366057</v>
      </c>
      <c r="U63" s="86">
        <f t="shared" si="135"/>
        <v>0.24552136838450925</v>
      </c>
      <c r="V63" s="86">
        <f t="shared" si="135"/>
        <v>5.8194354518025911E-2</v>
      </c>
      <c r="W63" s="86">
        <f t="shared" si="135"/>
        <v>0.19055027689247389</v>
      </c>
      <c r="X63" s="86">
        <f t="shared" si="135"/>
        <v>0</v>
      </c>
      <c r="Y63" s="86">
        <f t="shared" si="135"/>
        <v>0.18841290896088572</v>
      </c>
      <c r="Z63" s="86">
        <f t="shared" si="135"/>
        <v>0</v>
      </c>
      <c r="AA63" s="86">
        <f t="shared" si="135"/>
        <v>0</v>
      </c>
      <c r="AB63" s="86">
        <f t="shared" si="135"/>
        <v>0</v>
      </c>
      <c r="AC63" s="86">
        <f t="shared" si="135"/>
        <v>0</v>
      </c>
      <c r="AD63" s="86">
        <f t="shared" si="135"/>
        <v>0</v>
      </c>
      <c r="AE63" s="86">
        <f t="shared" si="135"/>
        <v>0</v>
      </c>
      <c r="AF63" s="86">
        <f t="shared" si="135"/>
        <v>0</v>
      </c>
      <c r="AG63" s="86">
        <f t="shared" si="135"/>
        <v>0</v>
      </c>
      <c r="AH63" s="86">
        <f t="shared" ref="AH63:BK63" si="136">IFERROR(AH15/AH33,0)</f>
        <v>1.5551433228735498</v>
      </c>
      <c r="AI63" s="86">
        <f t="shared" si="136"/>
        <v>2.5405277941892885</v>
      </c>
      <c r="AJ63" s="86">
        <f t="shared" si="136"/>
        <v>0</v>
      </c>
      <c r="AK63" s="86">
        <f t="shared" si="136"/>
        <v>0</v>
      </c>
      <c r="AL63" s="86">
        <f t="shared" si="136"/>
        <v>0</v>
      </c>
      <c r="AM63" s="86">
        <f t="shared" si="136"/>
        <v>1.3939873249698457E-2</v>
      </c>
      <c r="AN63" s="86">
        <f t="shared" si="136"/>
        <v>0.84796444100550039</v>
      </c>
      <c r="AO63" s="86">
        <f t="shared" si="136"/>
        <v>0.82374235767006754</v>
      </c>
      <c r="AP63" s="86">
        <f t="shared" si="136"/>
        <v>0</v>
      </c>
      <c r="AQ63" s="86">
        <f t="shared" si="136"/>
        <v>1.2752411350924151</v>
      </c>
      <c r="AR63" s="86">
        <f t="shared" si="136"/>
        <v>0</v>
      </c>
      <c r="AS63" s="86">
        <f t="shared" si="136"/>
        <v>0</v>
      </c>
      <c r="AT63" s="86">
        <f t="shared" si="136"/>
        <v>8.2384934018959275E-3</v>
      </c>
      <c r="AU63" s="86">
        <f t="shared" si="136"/>
        <v>1.5456191913113501E-2</v>
      </c>
      <c r="AV63" s="86">
        <f t="shared" si="136"/>
        <v>0</v>
      </c>
      <c r="AW63" s="86">
        <f t="shared" si="136"/>
        <v>0</v>
      </c>
      <c r="AX63" s="86">
        <f t="shared" si="136"/>
        <v>0.37876974094030452</v>
      </c>
      <c r="AY63" s="86">
        <f t="shared" si="136"/>
        <v>0.39546839911602749</v>
      </c>
      <c r="AZ63" s="86">
        <f t="shared" si="136"/>
        <v>0</v>
      </c>
      <c r="BA63" s="86">
        <f t="shared" si="136"/>
        <v>0</v>
      </c>
      <c r="BB63" s="86">
        <f t="shared" si="136"/>
        <v>0</v>
      </c>
      <c r="BC63" s="86">
        <f t="shared" si="136"/>
        <v>0.63489468177127995</v>
      </c>
      <c r="BD63" s="86">
        <f t="shared" ref="BD63:BE63" si="137">IFERROR(BD15/BD33,0)</f>
        <v>7.3142890202211847E-2</v>
      </c>
      <c r="BE63" s="86">
        <f t="shared" si="137"/>
        <v>0.19659518794438871</v>
      </c>
      <c r="BF63" s="86">
        <f t="shared" ref="BF63:BG63" si="138">IFERROR(BF15/BF33,0)</f>
        <v>0</v>
      </c>
      <c r="BG63" s="86">
        <f t="shared" si="138"/>
        <v>0</v>
      </c>
      <c r="BH63" s="86">
        <f t="shared" ref="BH63:BI63" si="139">IFERROR(BH15/BH33,0)</f>
        <v>0</v>
      </c>
      <c r="BI63" s="86">
        <f t="shared" si="139"/>
        <v>0</v>
      </c>
      <c r="BJ63" s="86">
        <f t="shared" si="136"/>
        <v>0.2623342718840177</v>
      </c>
      <c r="BK63" s="86">
        <f t="shared" si="136"/>
        <v>0.16826117705231353</v>
      </c>
    </row>
    <row r="64" spans="1:63" x14ac:dyDescent="0.2">
      <c r="A64" s="96" t="s">
        <v>77</v>
      </c>
      <c r="B64" s="86">
        <f t="shared" ref="B64:AG64" si="140">IFERROR(B16/B12,0)</f>
        <v>0</v>
      </c>
      <c r="C64" s="86">
        <f t="shared" si="140"/>
        <v>0.10951319067360142</v>
      </c>
      <c r="D64" s="86">
        <f t="shared" si="140"/>
        <v>0.49570666743225589</v>
      </c>
      <c r="E64" s="86">
        <f t="shared" si="140"/>
        <v>0.35706846603885234</v>
      </c>
      <c r="F64" s="86">
        <f t="shared" si="140"/>
        <v>0.37030001514417094</v>
      </c>
      <c r="G64" s="86">
        <f t="shared" si="140"/>
        <v>0.27866069051295678</v>
      </c>
      <c r="H64" s="86">
        <f t="shared" si="140"/>
        <v>0.57075280376857973</v>
      </c>
      <c r="I64" s="86">
        <f t="shared" si="140"/>
        <v>0.73645171607078563</v>
      </c>
      <c r="J64" s="86">
        <f t="shared" si="140"/>
        <v>0</v>
      </c>
      <c r="K64" s="86">
        <f t="shared" si="140"/>
        <v>0.71606719944394059</v>
      </c>
      <c r="L64" s="86">
        <f t="shared" si="140"/>
        <v>0.26036140797097784</v>
      </c>
      <c r="M64" s="86">
        <f t="shared" si="140"/>
        <v>0.27479915581940118</v>
      </c>
      <c r="N64" s="86">
        <f t="shared" si="140"/>
        <v>0</v>
      </c>
      <c r="O64" s="86">
        <f t="shared" si="140"/>
        <v>0.74978732601020825</v>
      </c>
      <c r="P64" s="86">
        <f t="shared" si="140"/>
        <v>0.47070518473654022</v>
      </c>
      <c r="Q64" s="86">
        <f t="shared" si="140"/>
        <v>0.30207663401029666</v>
      </c>
      <c r="R64" s="86">
        <f t="shared" si="140"/>
        <v>0</v>
      </c>
      <c r="S64" s="86">
        <f t="shared" si="140"/>
        <v>2.5472310121503937E-2</v>
      </c>
      <c r="T64" s="86">
        <f t="shared" si="140"/>
        <v>0.37176396165439363</v>
      </c>
      <c r="U64" s="86">
        <f t="shared" si="140"/>
        <v>0.36748827066460971</v>
      </c>
      <c r="V64" s="86">
        <f t="shared" si="140"/>
        <v>0.26315615225750222</v>
      </c>
      <c r="W64" s="86">
        <f t="shared" si="140"/>
        <v>0.35902796786215818</v>
      </c>
      <c r="X64" s="86">
        <f t="shared" si="140"/>
        <v>0</v>
      </c>
      <c r="Y64" s="86">
        <f t="shared" si="140"/>
        <v>0.31618895815666792</v>
      </c>
      <c r="Z64" s="86">
        <f t="shared" si="140"/>
        <v>0.22176915374926784</v>
      </c>
      <c r="AA64" s="86">
        <f t="shared" si="140"/>
        <v>0.2418387072460686</v>
      </c>
      <c r="AB64" s="86">
        <f t="shared" si="140"/>
        <v>0.10396311307278062</v>
      </c>
      <c r="AC64" s="86">
        <f t="shared" si="140"/>
        <v>0.23293005523113378</v>
      </c>
      <c r="AD64" s="86">
        <f t="shared" si="140"/>
        <v>0</v>
      </c>
      <c r="AE64" s="86">
        <f t="shared" si="140"/>
        <v>0.27855724164103141</v>
      </c>
      <c r="AF64" s="86">
        <f t="shared" si="140"/>
        <v>0</v>
      </c>
      <c r="AG64" s="86">
        <f t="shared" si="140"/>
        <v>0.16698950586692868</v>
      </c>
      <c r="AH64" s="86">
        <f t="shared" ref="AH64:BK64" si="141">IFERROR(AH16/AH12,0)</f>
        <v>0.62773936397390395</v>
      </c>
      <c r="AI64" s="86">
        <f t="shared" si="141"/>
        <v>0.7264379255932254</v>
      </c>
      <c r="AJ64" s="86">
        <f t="shared" si="141"/>
        <v>8.4782288592851099E-2</v>
      </c>
      <c r="AK64" s="86">
        <f t="shared" si="141"/>
        <v>5.3380532834863985E-2</v>
      </c>
      <c r="AL64" s="86">
        <f t="shared" si="141"/>
        <v>0</v>
      </c>
      <c r="AM64" s="86">
        <f t="shared" si="141"/>
        <v>0.49485764510520974</v>
      </c>
      <c r="AN64" s="86">
        <f t="shared" si="141"/>
        <v>0.56451508918122784</v>
      </c>
      <c r="AO64" s="86">
        <f t="shared" si="141"/>
        <v>0.55324112468158992</v>
      </c>
      <c r="AP64" s="86">
        <f t="shared" si="141"/>
        <v>0</v>
      </c>
      <c r="AQ64" s="86">
        <f t="shared" si="141"/>
        <v>0.62185853522419754</v>
      </c>
      <c r="AR64" s="86">
        <f t="shared" si="141"/>
        <v>0</v>
      </c>
      <c r="AS64" s="86">
        <f t="shared" si="141"/>
        <v>2.0030644394694732E-2</v>
      </c>
      <c r="AT64" s="86">
        <f t="shared" si="141"/>
        <v>9.9445001056774202E-2</v>
      </c>
      <c r="AU64" s="86">
        <f t="shared" si="141"/>
        <v>0.14320091246042907</v>
      </c>
      <c r="AV64" s="86">
        <f t="shared" si="141"/>
        <v>1.9468229189234925</v>
      </c>
      <c r="AW64" s="86">
        <f t="shared" si="141"/>
        <v>1.8022968339345018</v>
      </c>
      <c r="AX64" s="86">
        <f t="shared" si="141"/>
        <v>0.40844288314678845</v>
      </c>
      <c r="AY64" s="86">
        <f t="shared" si="141"/>
        <v>0.43238032829138756</v>
      </c>
      <c r="AZ64" s="86">
        <f t="shared" si="141"/>
        <v>2.414412183495326E-2</v>
      </c>
      <c r="BA64" s="86">
        <f t="shared" si="141"/>
        <v>7.4063350115057061E-2</v>
      </c>
      <c r="BB64" s="86">
        <f t="shared" si="141"/>
        <v>0</v>
      </c>
      <c r="BC64" s="86">
        <f t="shared" si="141"/>
        <v>0.43685146486416199</v>
      </c>
      <c r="BD64" s="86">
        <f t="shared" ref="BD64:BE64" si="142">IFERROR(BD16/BD12,0)</f>
        <v>0.30759286246875706</v>
      </c>
      <c r="BE64" s="86">
        <f t="shared" si="142"/>
        <v>0.33356286149546877</v>
      </c>
      <c r="BF64" s="86">
        <f t="shared" ref="BF64:BG64" si="143">IFERROR(BF16/BF12,0)</f>
        <v>0.20838671625324087</v>
      </c>
      <c r="BG64" s="86">
        <f t="shared" si="143"/>
        <v>0.15791154936558521</v>
      </c>
      <c r="BH64" s="86">
        <f t="shared" ref="BH64:BI64" si="144">IFERROR(BH16/BH12,0)</f>
        <v>0</v>
      </c>
      <c r="BI64" s="86">
        <f t="shared" si="144"/>
        <v>0.39401135518305963</v>
      </c>
      <c r="BJ64" s="86">
        <f t="shared" si="141"/>
        <v>0.40590105026450063</v>
      </c>
      <c r="BK64" s="86">
        <f t="shared" si="141"/>
        <v>0.32399882332757352</v>
      </c>
    </row>
    <row r="65" spans="1:63" x14ac:dyDescent="0.2">
      <c r="A65" s="207" t="s">
        <v>107</v>
      </c>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c r="BI65" s="208"/>
      <c r="BJ65" s="208"/>
      <c r="BK65" s="208"/>
    </row>
    <row r="66" spans="1:63" x14ac:dyDescent="0.2">
      <c r="A66" s="96" t="s">
        <v>79</v>
      </c>
      <c r="B66" s="86">
        <f t="shared" ref="B66:AG66" si="145">IFERROR(B12/B16,0)</f>
        <v>0</v>
      </c>
      <c r="C66" s="86">
        <f t="shared" si="145"/>
        <v>9.1313201071864487</v>
      </c>
      <c r="D66" s="86">
        <f t="shared" si="145"/>
        <v>2.0173220690775997</v>
      </c>
      <c r="E66" s="86">
        <f t="shared" si="145"/>
        <v>2.8005833477638733</v>
      </c>
      <c r="F66" s="86">
        <f t="shared" si="145"/>
        <v>2.7005129870455566</v>
      </c>
      <c r="G66" s="86">
        <f t="shared" si="145"/>
        <v>3.5885937056970851</v>
      </c>
      <c r="H66" s="86">
        <f t="shared" si="145"/>
        <v>1.7520719887789897</v>
      </c>
      <c r="I66" s="86">
        <f t="shared" si="145"/>
        <v>1.3578622714539006</v>
      </c>
      <c r="J66" s="86">
        <f t="shared" si="145"/>
        <v>0</v>
      </c>
      <c r="K66" s="86">
        <f t="shared" si="145"/>
        <v>1.3965169760275942</v>
      </c>
      <c r="L66" s="86">
        <f t="shared" si="145"/>
        <v>3.8408149955598208</v>
      </c>
      <c r="M66" s="86">
        <f t="shared" si="145"/>
        <v>3.6390213682359454</v>
      </c>
      <c r="N66" s="86">
        <f t="shared" si="145"/>
        <v>0</v>
      </c>
      <c r="O66" s="86">
        <f t="shared" si="145"/>
        <v>1.3337115276690941</v>
      </c>
      <c r="P66" s="86">
        <f t="shared" si="145"/>
        <v>2.1244720313835357</v>
      </c>
      <c r="Q66" s="86">
        <f t="shared" si="145"/>
        <v>3.3104182429612008</v>
      </c>
      <c r="R66" s="86">
        <f t="shared" si="145"/>
        <v>0</v>
      </c>
      <c r="S66" s="86">
        <f t="shared" si="145"/>
        <v>39.258316000000001</v>
      </c>
      <c r="T66" s="86">
        <f t="shared" si="145"/>
        <v>2.6898788025334186</v>
      </c>
      <c r="U66" s="86">
        <f t="shared" si="145"/>
        <v>2.7211752859253999</v>
      </c>
      <c r="V66" s="86">
        <f t="shared" si="145"/>
        <v>3.8000251615682736</v>
      </c>
      <c r="W66" s="86">
        <f t="shared" si="145"/>
        <v>2.7852983319225166</v>
      </c>
      <c r="X66" s="86">
        <f t="shared" si="145"/>
        <v>0</v>
      </c>
      <c r="Y66" s="86">
        <f t="shared" si="145"/>
        <v>3.1626657864014081</v>
      </c>
      <c r="Z66" s="86">
        <f t="shared" si="145"/>
        <v>4.5091933801154322</v>
      </c>
      <c r="AA66" s="86">
        <f t="shared" si="145"/>
        <v>4.1349873698361677</v>
      </c>
      <c r="AB66" s="86">
        <f t="shared" si="145"/>
        <v>9.6187962291965814</v>
      </c>
      <c r="AC66" s="86">
        <f t="shared" si="145"/>
        <v>4.2931342587272034</v>
      </c>
      <c r="AD66" s="86">
        <f t="shared" si="145"/>
        <v>0</v>
      </c>
      <c r="AE66" s="86">
        <f t="shared" si="145"/>
        <v>3.5899264155145203</v>
      </c>
      <c r="AF66" s="86">
        <f t="shared" si="145"/>
        <v>0</v>
      </c>
      <c r="AG66" s="86">
        <f t="shared" si="145"/>
        <v>5.9884002578993458</v>
      </c>
      <c r="AH66" s="86">
        <f t="shared" ref="AH66:BK66" si="146">IFERROR(AH12/AH16,0)</f>
        <v>1.5930178309505716</v>
      </c>
      <c r="AI66" s="86">
        <f t="shared" si="146"/>
        <v>1.3765801106589772</v>
      </c>
      <c r="AJ66" s="86">
        <f t="shared" si="146"/>
        <v>11.794916327421724</v>
      </c>
      <c r="AK66" s="86">
        <f t="shared" si="146"/>
        <v>18.733421097416965</v>
      </c>
      <c r="AL66" s="86">
        <f t="shared" si="146"/>
        <v>0</v>
      </c>
      <c r="AM66" s="86">
        <f t="shared" si="146"/>
        <v>2.020783168435023</v>
      </c>
      <c r="AN66" s="86">
        <f t="shared" si="146"/>
        <v>1.7714318344446718</v>
      </c>
      <c r="AO66" s="86">
        <f t="shared" si="146"/>
        <v>1.8075301263541026</v>
      </c>
      <c r="AP66" s="86">
        <f t="shared" si="146"/>
        <v>0</v>
      </c>
      <c r="AQ66" s="86">
        <f t="shared" si="146"/>
        <v>1.6080827766390178</v>
      </c>
      <c r="AR66" s="86">
        <f t="shared" si="146"/>
        <v>0</v>
      </c>
      <c r="AS66" s="86">
        <f t="shared" si="146"/>
        <v>49.923506218544702</v>
      </c>
      <c r="AT66" s="86">
        <f t="shared" si="146"/>
        <v>10.055809637219365</v>
      </c>
      <c r="AU66" s="86">
        <f t="shared" si="146"/>
        <v>6.9831957270267502</v>
      </c>
      <c r="AV66" s="86">
        <f t="shared" si="146"/>
        <v>0.5136574006191359</v>
      </c>
      <c r="AW66" s="86">
        <f t="shared" si="146"/>
        <v>0.55484755960923005</v>
      </c>
      <c r="AX66" s="86">
        <f t="shared" si="146"/>
        <v>2.4483227429393462</v>
      </c>
      <c r="AY66" s="86">
        <f t="shared" si="146"/>
        <v>2.3127786686125211</v>
      </c>
      <c r="AZ66" s="86">
        <f t="shared" si="146"/>
        <v>41.417948717948718</v>
      </c>
      <c r="BA66" s="86">
        <f t="shared" si="146"/>
        <v>13.501954724523056</v>
      </c>
      <c r="BB66" s="86">
        <f t="shared" si="146"/>
        <v>0</v>
      </c>
      <c r="BC66" s="86">
        <f t="shared" si="146"/>
        <v>2.2891075810194383</v>
      </c>
      <c r="BD66" s="86">
        <f t="shared" ref="BD66:BE66" si="147">IFERROR(BD12/BD16,0)</f>
        <v>3.2510507297664373</v>
      </c>
      <c r="BE66" s="86">
        <f t="shared" si="147"/>
        <v>2.9979356680077656</v>
      </c>
      <c r="BF66" s="86">
        <f t="shared" ref="BF66:BG66" si="148">IFERROR(BF12/BF16,0)</f>
        <v>4.7987703726026147</v>
      </c>
      <c r="BG66" s="86">
        <f t="shared" si="148"/>
        <v>6.3326590361346753</v>
      </c>
      <c r="BH66" s="86">
        <f t="shared" ref="BH66:BI66" si="149">IFERROR(BH12/BH16,0)</f>
        <v>0</v>
      </c>
      <c r="BI66" s="86">
        <f t="shared" si="149"/>
        <v>2.5379979202259157</v>
      </c>
      <c r="BJ66" s="86">
        <f t="shared" si="146"/>
        <v>2.4636546255506402</v>
      </c>
      <c r="BK66" s="86">
        <f t="shared" si="146"/>
        <v>3.0864309620932389</v>
      </c>
    </row>
    <row r="67" spans="1:63" x14ac:dyDescent="0.2">
      <c r="A67" s="96" t="s">
        <v>80</v>
      </c>
      <c r="B67" s="86">
        <f t="shared" ref="B67:AG67" si="150">IFERROR(B12/B14,0)</f>
        <v>0</v>
      </c>
      <c r="C67" s="86">
        <f t="shared" si="150"/>
        <v>9.1313201071864487</v>
      </c>
      <c r="D67" s="86">
        <f t="shared" si="150"/>
        <v>9.147876489881547</v>
      </c>
      <c r="E67" s="86">
        <f t="shared" si="150"/>
        <v>7.690619347750915</v>
      </c>
      <c r="F67" s="86">
        <f t="shared" si="150"/>
        <v>3.9186725043681707</v>
      </c>
      <c r="G67" s="86">
        <f t="shared" si="150"/>
        <v>4.0299080792767494</v>
      </c>
      <c r="H67" s="86">
        <f t="shared" si="150"/>
        <v>2.207832068239957</v>
      </c>
      <c r="I67" s="86">
        <f t="shared" si="150"/>
        <v>10.852001139276695</v>
      </c>
      <c r="J67" s="86">
        <f t="shared" si="150"/>
        <v>0</v>
      </c>
      <c r="K67" s="86">
        <f t="shared" si="150"/>
        <v>2.9964506176763184</v>
      </c>
      <c r="L67" s="86">
        <f t="shared" si="150"/>
        <v>7.8693675456581609</v>
      </c>
      <c r="M67" s="86">
        <f t="shared" si="150"/>
        <v>4.5653515487749203</v>
      </c>
      <c r="N67" s="86">
        <f t="shared" si="150"/>
        <v>0</v>
      </c>
      <c r="O67" s="86">
        <f t="shared" si="150"/>
        <v>1.3337115276690941</v>
      </c>
      <c r="P67" s="86">
        <f t="shared" si="150"/>
        <v>2.9393908363859325</v>
      </c>
      <c r="Q67" s="86">
        <f t="shared" si="150"/>
        <v>5.0738370273851645</v>
      </c>
      <c r="R67" s="86">
        <f t="shared" si="150"/>
        <v>0</v>
      </c>
      <c r="S67" s="86">
        <f t="shared" si="150"/>
        <v>39.258316000000001</v>
      </c>
      <c r="T67" s="86">
        <f t="shared" si="150"/>
        <v>4.7758869108327815</v>
      </c>
      <c r="U67" s="86">
        <f t="shared" si="150"/>
        <v>4.7126880209170965</v>
      </c>
      <c r="V67" s="86">
        <f t="shared" si="150"/>
        <v>4.5397592079244475</v>
      </c>
      <c r="W67" s="86">
        <f t="shared" si="150"/>
        <v>4.2213584164362068</v>
      </c>
      <c r="X67" s="86">
        <f t="shared" si="150"/>
        <v>0</v>
      </c>
      <c r="Y67" s="86">
        <f t="shared" si="150"/>
        <v>5.3375996957466123</v>
      </c>
      <c r="Z67" s="86">
        <f t="shared" si="150"/>
        <v>4.5091933801154322</v>
      </c>
      <c r="AA67" s="86">
        <f t="shared" si="150"/>
        <v>4.1349873698361677</v>
      </c>
      <c r="AB67" s="86">
        <f t="shared" si="150"/>
        <v>9.6187962291965814</v>
      </c>
      <c r="AC67" s="86">
        <f t="shared" si="150"/>
        <v>4.2931342587272034</v>
      </c>
      <c r="AD67" s="86">
        <f t="shared" si="150"/>
        <v>0</v>
      </c>
      <c r="AE67" s="86">
        <f t="shared" si="150"/>
        <v>3.5899264155145203</v>
      </c>
      <c r="AF67" s="86">
        <f t="shared" si="150"/>
        <v>0</v>
      </c>
      <c r="AG67" s="86">
        <f t="shared" si="150"/>
        <v>5.9884002578993458</v>
      </c>
      <c r="AH67" s="86">
        <f t="shared" ref="AH67:BK67" si="151">IFERROR(AH12/AH14,0)</f>
        <v>20.48310572837374</v>
      </c>
      <c r="AI67" s="86">
        <f t="shared" si="151"/>
        <v>31.800676284941389</v>
      </c>
      <c r="AJ67" s="86">
        <f t="shared" si="151"/>
        <v>11.794916327421724</v>
      </c>
      <c r="AK67" s="86">
        <f t="shared" si="151"/>
        <v>18.733421097416965</v>
      </c>
      <c r="AL67" s="86">
        <f t="shared" si="151"/>
        <v>0</v>
      </c>
      <c r="AM67" s="86">
        <f t="shared" si="151"/>
        <v>2.0499531572479515</v>
      </c>
      <c r="AN67" s="86">
        <f t="shared" si="151"/>
        <v>5.1219177715632345</v>
      </c>
      <c r="AO67" s="86">
        <f t="shared" si="151"/>
        <v>5.3987834205947989</v>
      </c>
      <c r="AP67" s="86">
        <f t="shared" si="151"/>
        <v>0</v>
      </c>
      <c r="AQ67" s="86">
        <f t="shared" si="151"/>
        <v>7.1614264937153393</v>
      </c>
      <c r="AR67" s="86">
        <f t="shared" si="151"/>
        <v>0</v>
      </c>
      <c r="AS67" s="86">
        <f t="shared" si="151"/>
        <v>49.923506218544702</v>
      </c>
      <c r="AT67" s="86">
        <f t="shared" si="151"/>
        <v>10.86651968155058</v>
      </c>
      <c r="AU67" s="86">
        <f t="shared" si="151"/>
        <v>7.6947900710981498</v>
      </c>
      <c r="AV67" s="86">
        <f t="shared" si="151"/>
        <v>0.5136574006191359</v>
      </c>
      <c r="AW67" s="86">
        <f t="shared" si="151"/>
        <v>0.55484755960923005</v>
      </c>
      <c r="AX67" s="86">
        <f t="shared" si="151"/>
        <v>5.4236127005961006</v>
      </c>
      <c r="AY67" s="86">
        <f t="shared" si="151"/>
        <v>4.8098964100237511</v>
      </c>
      <c r="AZ67" s="86">
        <f t="shared" si="151"/>
        <v>41.417948717948718</v>
      </c>
      <c r="BA67" s="86">
        <f t="shared" si="151"/>
        <v>13.501954724523056</v>
      </c>
      <c r="BB67" s="86">
        <f t="shared" si="151"/>
        <v>0</v>
      </c>
      <c r="BC67" s="86">
        <f t="shared" si="151"/>
        <v>12.608519182709994</v>
      </c>
      <c r="BD67" s="86">
        <f t="shared" ref="BD67:BE67" si="152">IFERROR(BD12/BD14,0)</f>
        <v>3.8918349590204566</v>
      </c>
      <c r="BE67" s="86">
        <f t="shared" si="152"/>
        <v>4.9371859848359581</v>
      </c>
      <c r="BF67" s="86">
        <f t="shared" ref="BF67:BG67" si="153">IFERROR(BF12/BF14,0)</f>
        <v>4.7987703726026147</v>
      </c>
      <c r="BG67" s="86">
        <f t="shared" si="153"/>
        <v>6.3326590361346753</v>
      </c>
      <c r="BH67" s="86">
        <f t="shared" ref="BH67:BI67" si="154">IFERROR(BH12/BH14,0)</f>
        <v>0</v>
      </c>
      <c r="BI67" s="86">
        <f t="shared" si="154"/>
        <v>2.5379979202259157</v>
      </c>
      <c r="BJ67" s="86">
        <f t="shared" si="151"/>
        <v>3.9992235929939559</v>
      </c>
      <c r="BK67" s="86">
        <f t="shared" si="151"/>
        <v>4.7561505071245991</v>
      </c>
    </row>
    <row r="68" spans="1:63" x14ac:dyDescent="0.2">
      <c r="A68" s="207" t="s">
        <v>108</v>
      </c>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c r="BH68" s="208"/>
      <c r="BI68" s="208"/>
      <c r="BJ68" s="208"/>
      <c r="BK68" s="208"/>
    </row>
    <row r="69" spans="1:63" x14ac:dyDescent="0.2">
      <c r="A69" s="96" t="s">
        <v>82</v>
      </c>
      <c r="B69" s="86">
        <f t="shared" ref="B69:AG69" si="155">IFERROR(B11/B15,0)</f>
        <v>0</v>
      </c>
      <c r="C69" s="86">
        <f t="shared" si="155"/>
        <v>0</v>
      </c>
      <c r="D69" s="86">
        <f t="shared" si="155"/>
        <v>0.4703943435754192</v>
      </c>
      <c r="E69" s="86">
        <f t="shared" si="155"/>
        <v>0.68940677442302356</v>
      </c>
      <c r="F69" s="86">
        <f t="shared" si="155"/>
        <v>6.7151889543314862</v>
      </c>
      <c r="G69" s="86">
        <f t="shared" si="155"/>
        <v>25.709683089785965</v>
      </c>
      <c r="H69" s="86">
        <f t="shared" si="155"/>
        <v>2.7445271037234562</v>
      </c>
      <c r="I69" s="86">
        <f t="shared" si="155"/>
        <v>1.0156720838992965</v>
      </c>
      <c r="J69" s="86">
        <f t="shared" si="155"/>
        <v>0</v>
      </c>
      <c r="K69" s="86">
        <f t="shared" si="155"/>
        <v>1.4081822739984999</v>
      </c>
      <c r="L69" s="86">
        <f t="shared" si="155"/>
        <v>3.9090499231464864</v>
      </c>
      <c r="M69" s="86">
        <f t="shared" si="155"/>
        <v>8.3068033836626878</v>
      </c>
      <c r="N69" s="86">
        <f t="shared" si="155"/>
        <v>0</v>
      </c>
      <c r="O69" s="86">
        <f t="shared" si="155"/>
        <v>0</v>
      </c>
      <c r="P69" s="86">
        <f t="shared" si="155"/>
        <v>4.9243493614343148</v>
      </c>
      <c r="Q69" s="86">
        <f t="shared" si="155"/>
        <v>6.2839122564983478</v>
      </c>
      <c r="R69" s="86">
        <f t="shared" si="155"/>
        <v>0</v>
      </c>
      <c r="S69" s="86">
        <f t="shared" si="155"/>
        <v>0</v>
      </c>
      <c r="T69" s="86">
        <f t="shared" si="155"/>
        <v>4.666711861975597</v>
      </c>
      <c r="U69" s="86">
        <f t="shared" si="155"/>
        <v>4.9091604302037899</v>
      </c>
      <c r="V69" s="86">
        <f t="shared" si="155"/>
        <v>10.220520838024164</v>
      </c>
      <c r="W69" s="86">
        <f t="shared" si="155"/>
        <v>2.7374985942209356</v>
      </c>
      <c r="X69" s="86">
        <f t="shared" si="155"/>
        <v>0</v>
      </c>
      <c r="Y69" s="86">
        <f t="shared" si="155"/>
        <v>3.4670977460408854</v>
      </c>
      <c r="Z69" s="86">
        <f t="shared" si="155"/>
        <v>0</v>
      </c>
      <c r="AA69" s="86">
        <f t="shared" si="155"/>
        <v>0</v>
      </c>
      <c r="AB69" s="86">
        <f t="shared" si="155"/>
        <v>0</v>
      </c>
      <c r="AC69" s="86">
        <f t="shared" si="155"/>
        <v>0</v>
      </c>
      <c r="AD69" s="86">
        <f t="shared" si="155"/>
        <v>0</v>
      </c>
      <c r="AE69" s="86">
        <f t="shared" si="155"/>
        <v>0</v>
      </c>
      <c r="AF69" s="86">
        <f t="shared" si="155"/>
        <v>0</v>
      </c>
      <c r="AG69" s="86">
        <f t="shared" si="155"/>
        <v>0</v>
      </c>
      <c r="AH69" s="86">
        <f t="shared" ref="AH69:BK69" si="156">IFERROR(AH11/AH15,0)</f>
        <v>0</v>
      </c>
      <c r="AI69" s="86">
        <f t="shared" si="156"/>
        <v>0</v>
      </c>
      <c r="AJ69" s="86">
        <f t="shared" si="156"/>
        <v>0</v>
      </c>
      <c r="AK69" s="86">
        <f t="shared" si="156"/>
        <v>0</v>
      </c>
      <c r="AL69" s="86">
        <f t="shared" si="156"/>
        <v>0</v>
      </c>
      <c r="AM69" s="86">
        <f t="shared" si="156"/>
        <v>54.599681498313544</v>
      </c>
      <c r="AN69" s="86">
        <f t="shared" si="156"/>
        <v>0.82499727913822629</v>
      </c>
      <c r="AO69" s="86">
        <f t="shared" si="156"/>
        <v>0.90039322802845401</v>
      </c>
      <c r="AP69" s="86">
        <f t="shared" si="156"/>
        <v>0</v>
      </c>
      <c r="AQ69" s="86">
        <f t="shared" si="156"/>
        <v>1.7338670191092835</v>
      </c>
      <c r="AR69" s="86">
        <f t="shared" si="156"/>
        <v>0</v>
      </c>
      <c r="AS69" s="86">
        <f t="shared" si="156"/>
        <v>0</v>
      </c>
      <c r="AT69" s="86">
        <f t="shared" si="156"/>
        <v>103.92468136108512</v>
      </c>
      <c r="AU69" s="86">
        <f t="shared" si="156"/>
        <v>58.711704120554622</v>
      </c>
      <c r="AV69" s="86">
        <f t="shared" si="156"/>
        <v>0</v>
      </c>
      <c r="AW69" s="86">
        <f t="shared" si="156"/>
        <v>0</v>
      </c>
      <c r="AX69" s="86">
        <f t="shared" si="156"/>
        <v>3.2469132141057875</v>
      </c>
      <c r="AY69" s="86">
        <f t="shared" si="156"/>
        <v>3.3329644123841358</v>
      </c>
      <c r="AZ69" s="86">
        <f t="shared" si="156"/>
        <v>0</v>
      </c>
      <c r="BA69" s="86">
        <f t="shared" si="156"/>
        <v>0</v>
      </c>
      <c r="BB69" s="86">
        <f t="shared" si="156"/>
        <v>0</v>
      </c>
      <c r="BC69" s="86">
        <f t="shared" si="156"/>
        <v>2.1976616817634627</v>
      </c>
      <c r="BD69" s="86">
        <f t="shared" ref="BD69:BE69" si="157">IFERROR(BD11/BD15,0)</f>
        <v>7.9330920037609687</v>
      </c>
      <c r="BE69" s="86">
        <f t="shared" si="157"/>
        <v>3.920853306817496</v>
      </c>
      <c r="BF69" s="86">
        <f t="shared" ref="BF69:BG69" si="158">IFERROR(BF11/BF15,0)</f>
        <v>0</v>
      </c>
      <c r="BG69" s="86">
        <f t="shared" si="158"/>
        <v>0</v>
      </c>
      <c r="BH69" s="86">
        <f t="shared" ref="BH69:BI69" si="159">IFERROR(BH11/BH15,0)</f>
        <v>0</v>
      </c>
      <c r="BI69" s="86">
        <f t="shared" si="159"/>
        <v>0</v>
      </c>
      <c r="BJ69" s="86">
        <f t="shared" si="156"/>
        <v>3.9910404091601177</v>
      </c>
      <c r="BK69" s="86">
        <f t="shared" si="156"/>
        <v>5.4147430869313915</v>
      </c>
    </row>
    <row r="70" spans="1:63" x14ac:dyDescent="0.2">
      <c r="A70" s="96" t="s">
        <v>83</v>
      </c>
      <c r="B70" s="86">
        <f t="shared" ref="B70:AG70" si="160">IFERROR(B12/B16,0)</f>
        <v>0</v>
      </c>
      <c r="C70" s="86">
        <f t="shared" si="160"/>
        <v>9.1313201071864487</v>
      </c>
      <c r="D70" s="86">
        <f t="shared" si="160"/>
        <v>2.0173220690775997</v>
      </c>
      <c r="E70" s="86">
        <f t="shared" si="160"/>
        <v>2.8005833477638733</v>
      </c>
      <c r="F70" s="86">
        <f t="shared" si="160"/>
        <v>2.7005129870455566</v>
      </c>
      <c r="G70" s="86">
        <f t="shared" si="160"/>
        <v>3.5885937056970851</v>
      </c>
      <c r="H70" s="86">
        <f t="shared" si="160"/>
        <v>1.7520719887789897</v>
      </c>
      <c r="I70" s="86">
        <f t="shared" si="160"/>
        <v>1.3578622714539006</v>
      </c>
      <c r="J70" s="86">
        <f t="shared" si="160"/>
        <v>0</v>
      </c>
      <c r="K70" s="86">
        <f t="shared" si="160"/>
        <v>1.3965169760275942</v>
      </c>
      <c r="L70" s="86">
        <f t="shared" si="160"/>
        <v>3.8408149955598208</v>
      </c>
      <c r="M70" s="86">
        <f t="shared" si="160"/>
        <v>3.6390213682359454</v>
      </c>
      <c r="N70" s="86">
        <f t="shared" si="160"/>
        <v>0</v>
      </c>
      <c r="O70" s="86">
        <f t="shared" si="160"/>
        <v>1.3337115276690941</v>
      </c>
      <c r="P70" s="86">
        <f t="shared" si="160"/>
        <v>2.1244720313835357</v>
      </c>
      <c r="Q70" s="86">
        <f t="shared" si="160"/>
        <v>3.3104182429612008</v>
      </c>
      <c r="R70" s="86">
        <f t="shared" si="160"/>
        <v>0</v>
      </c>
      <c r="S70" s="86">
        <f t="shared" si="160"/>
        <v>39.258316000000001</v>
      </c>
      <c r="T70" s="86">
        <f t="shared" si="160"/>
        <v>2.6898788025334186</v>
      </c>
      <c r="U70" s="86">
        <f t="shared" si="160"/>
        <v>2.7211752859253999</v>
      </c>
      <c r="V70" s="86">
        <f t="shared" si="160"/>
        <v>3.8000251615682736</v>
      </c>
      <c r="W70" s="86">
        <f t="shared" si="160"/>
        <v>2.7852983319225166</v>
      </c>
      <c r="X70" s="86">
        <f t="shared" si="160"/>
        <v>0</v>
      </c>
      <c r="Y70" s="86">
        <f t="shared" si="160"/>
        <v>3.1626657864014081</v>
      </c>
      <c r="Z70" s="86">
        <f t="shared" si="160"/>
        <v>4.5091933801154322</v>
      </c>
      <c r="AA70" s="86">
        <f t="shared" si="160"/>
        <v>4.1349873698361677</v>
      </c>
      <c r="AB70" s="86">
        <f t="shared" si="160"/>
        <v>9.6187962291965814</v>
      </c>
      <c r="AC70" s="86">
        <f t="shared" si="160"/>
        <v>4.2931342587272034</v>
      </c>
      <c r="AD70" s="86">
        <f t="shared" si="160"/>
        <v>0</v>
      </c>
      <c r="AE70" s="86">
        <f t="shared" si="160"/>
        <v>3.5899264155145203</v>
      </c>
      <c r="AF70" s="86">
        <f t="shared" si="160"/>
        <v>0</v>
      </c>
      <c r="AG70" s="86">
        <f t="shared" si="160"/>
        <v>5.9884002578993458</v>
      </c>
      <c r="AH70" s="86">
        <f t="shared" ref="AH70:BK70" si="161">IFERROR(AH12/AH16,0)</f>
        <v>1.5930178309505716</v>
      </c>
      <c r="AI70" s="86">
        <f t="shared" si="161"/>
        <v>1.3765801106589772</v>
      </c>
      <c r="AJ70" s="86">
        <f t="shared" si="161"/>
        <v>11.794916327421724</v>
      </c>
      <c r="AK70" s="86">
        <f t="shared" si="161"/>
        <v>18.733421097416965</v>
      </c>
      <c r="AL70" s="86">
        <f t="shared" si="161"/>
        <v>0</v>
      </c>
      <c r="AM70" s="86">
        <f t="shared" si="161"/>
        <v>2.020783168435023</v>
      </c>
      <c r="AN70" s="86">
        <f t="shared" si="161"/>
        <v>1.7714318344446718</v>
      </c>
      <c r="AO70" s="86">
        <f t="shared" si="161"/>
        <v>1.8075301263541026</v>
      </c>
      <c r="AP70" s="86">
        <f t="shared" si="161"/>
        <v>0</v>
      </c>
      <c r="AQ70" s="86">
        <f t="shared" si="161"/>
        <v>1.6080827766390178</v>
      </c>
      <c r="AR70" s="86">
        <f t="shared" si="161"/>
        <v>0</v>
      </c>
      <c r="AS70" s="86">
        <f t="shared" si="161"/>
        <v>49.923506218544702</v>
      </c>
      <c r="AT70" s="86">
        <f t="shared" si="161"/>
        <v>10.055809637219365</v>
      </c>
      <c r="AU70" s="86">
        <f t="shared" si="161"/>
        <v>6.9831957270267502</v>
      </c>
      <c r="AV70" s="86">
        <f t="shared" si="161"/>
        <v>0.5136574006191359</v>
      </c>
      <c r="AW70" s="86">
        <f t="shared" si="161"/>
        <v>0.55484755960923005</v>
      </c>
      <c r="AX70" s="86">
        <f t="shared" si="161"/>
        <v>2.4483227429393462</v>
      </c>
      <c r="AY70" s="86">
        <f t="shared" si="161"/>
        <v>2.3127786686125211</v>
      </c>
      <c r="AZ70" s="86">
        <f t="shared" si="161"/>
        <v>41.417948717948718</v>
      </c>
      <c r="BA70" s="86">
        <f t="shared" si="161"/>
        <v>13.501954724523056</v>
      </c>
      <c r="BB70" s="86">
        <f t="shared" si="161"/>
        <v>0</v>
      </c>
      <c r="BC70" s="86">
        <f t="shared" si="161"/>
        <v>2.2891075810194383</v>
      </c>
      <c r="BD70" s="86">
        <f t="shared" ref="BD70:BE70" si="162">IFERROR(BD12/BD16,0)</f>
        <v>3.2510507297664373</v>
      </c>
      <c r="BE70" s="86">
        <f t="shared" si="162"/>
        <v>2.9979356680077656</v>
      </c>
      <c r="BF70" s="86">
        <f t="shared" ref="BF70:BG70" si="163">IFERROR(BF12/BF16,0)</f>
        <v>4.7987703726026147</v>
      </c>
      <c r="BG70" s="86">
        <f t="shared" si="163"/>
        <v>6.3326590361346753</v>
      </c>
      <c r="BH70" s="86">
        <f t="shared" ref="BH70:BI70" si="164">IFERROR(BH12/BH16,0)</f>
        <v>0</v>
      </c>
      <c r="BI70" s="86">
        <f t="shared" si="164"/>
        <v>2.5379979202259157</v>
      </c>
      <c r="BJ70" s="86">
        <f t="shared" si="161"/>
        <v>2.4636546255506402</v>
      </c>
      <c r="BK70" s="86">
        <f t="shared" si="161"/>
        <v>3.0864309620932389</v>
      </c>
    </row>
    <row r="71" spans="1:63" x14ac:dyDescent="0.2">
      <c r="A71" s="207" t="s">
        <v>109</v>
      </c>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c r="BE71" s="208"/>
      <c r="BF71" s="208"/>
      <c r="BG71" s="208"/>
      <c r="BH71" s="208"/>
      <c r="BI71" s="208"/>
      <c r="BJ71" s="208"/>
      <c r="BK71" s="208"/>
    </row>
    <row r="72" spans="1:63" x14ac:dyDescent="0.2">
      <c r="A72" s="96" t="s">
        <v>85</v>
      </c>
      <c r="B72" s="86">
        <f t="shared" ref="B72:AG72" si="165">IFERROR(B33/B12,0)</f>
        <v>0</v>
      </c>
      <c r="C72" s="86">
        <f t="shared" si="165"/>
        <v>0.89048680932639857</v>
      </c>
      <c r="D72" s="86">
        <f t="shared" si="165"/>
        <v>0.50429333256774411</v>
      </c>
      <c r="E72" s="86">
        <f t="shared" si="165"/>
        <v>0.64293153396114766</v>
      </c>
      <c r="F72" s="86">
        <f t="shared" si="165"/>
        <v>0.62969998485582901</v>
      </c>
      <c r="G72" s="86">
        <f t="shared" si="165"/>
        <v>0.72133930948704328</v>
      </c>
      <c r="H72" s="86">
        <f t="shared" si="165"/>
        <v>0.42924719623142027</v>
      </c>
      <c r="I72" s="86">
        <f t="shared" si="165"/>
        <v>0.26354828392921437</v>
      </c>
      <c r="J72" s="86">
        <f t="shared" si="165"/>
        <v>0</v>
      </c>
      <c r="K72" s="86">
        <f t="shared" si="165"/>
        <v>0.28393280055605946</v>
      </c>
      <c r="L72" s="86">
        <f t="shared" si="165"/>
        <v>0.73963859202902216</v>
      </c>
      <c r="M72" s="86">
        <f t="shared" si="165"/>
        <v>0.72520084418059882</v>
      </c>
      <c r="N72" s="86">
        <f t="shared" si="165"/>
        <v>0</v>
      </c>
      <c r="O72" s="86">
        <f t="shared" si="165"/>
        <v>0.25021267398979169</v>
      </c>
      <c r="P72" s="86">
        <f t="shared" si="165"/>
        <v>0.52929481526345978</v>
      </c>
      <c r="Q72" s="86">
        <f t="shared" si="165"/>
        <v>0.69792336598970328</v>
      </c>
      <c r="R72" s="86">
        <f t="shared" si="165"/>
        <v>0</v>
      </c>
      <c r="S72" s="86">
        <f t="shared" si="165"/>
        <v>0.97452768987849603</v>
      </c>
      <c r="T72" s="86">
        <f t="shared" si="165"/>
        <v>0.62823603834560637</v>
      </c>
      <c r="U72" s="86">
        <f t="shared" si="165"/>
        <v>0.63251172933539035</v>
      </c>
      <c r="V72" s="86">
        <f t="shared" si="165"/>
        <v>0.73684384774249778</v>
      </c>
      <c r="W72" s="86">
        <f t="shared" si="165"/>
        <v>0.64097203213784182</v>
      </c>
      <c r="X72" s="86">
        <f t="shared" si="165"/>
        <v>0</v>
      </c>
      <c r="Y72" s="86">
        <f t="shared" si="165"/>
        <v>0.68381104184333208</v>
      </c>
      <c r="Z72" s="86">
        <f t="shared" si="165"/>
        <v>0.77823084625073213</v>
      </c>
      <c r="AA72" s="86">
        <f t="shared" si="165"/>
        <v>0.7581612927539314</v>
      </c>
      <c r="AB72" s="86">
        <f t="shared" si="165"/>
        <v>0.89603688692721939</v>
      </c>
      <c r="AC72" s="86">
        <f t="shared" si="165"/>
        <v>0.76706994476886625</v>
      </c>
      <c r="AD72" s="86">
        <f t="shared" si="165"/>
        <v>0</v>
      </c>
      <c r="AE72" s="86">
        <f t="shared" si="165"/>
        <v>0.72144275835896854</v>
      </c>
      <c r="AF72" s="86">
        <f t="shared" si="165"/>
        <v>0</v>
      </c>
      <c r="AG72" s="86">
        <f t="shared" si="165"/>
        <v>0.83301049413307138</v>
      </c>
      <c r="AH72" s="86">
        <f t="shared" ref="AH72:BK72" si="166">IFERROR(AH33/AH12,0)</f>
        <v>0.37226063602609599</v>
      </c>
      <c r="AI72" s="86">
        <f t="shared" si="166"/>
        <v>0.2735620744067746</v>
      </c>
      <c r="AJ72" s="86">
        <f t="shared" si="166"/>
        <v>0.91521771140714892</v>
      </c>
      <c r="AK72" s="86">
        <f t="shared" si="166"/>
        <v>0.94661946716513601</v>
      </c>
      <c r="AL72" s="86">
        <f t="shared" si="166"/>
        <v>0</v>
      </c>
      <c r="AM72" s="86">
        <f t="shared" si="166"/>
        <v>0.5051423548947902</v>
      </c>
      <c r="AN72" s="86">
        <f t="shared" si="166"/>
        <v>0.43548491081877216</v>
      </c>
      <c r="AO72" s="86">
        <f t="shared" si="166"/>
        <v>0.44675887531841008</v>
      </c>
      <c r="AP72" s="86">
        <f t="shared" si="166"/>
        <v>0</v>
      </c>
      <c r="AQ72" s="86">
        <f t="shared" si="166"/>
        <v>0.37814146477580246</v>
      </c>
      <c r="AR72" s="86">
        <f t="shared" si="166"/>
        <v>0</v>
      </c>
      <c r="AS72" s="86">
        <f t="shared" si="166"/>
        <v>0.97996935560530529</v>
      </c>
      <c r="AT72" s="86">
        <f t="shared" si="166"/>
        <v>0.90055499894322577</v>
      </c>
      <c r="AU72" s="86">
        <f t="shared" si="166"/>
        <v>0.8567990875395709</v>
      </c>
      <c r="AV72" s="86">
        <f t="shared" si="166"/>
        <v>-0.94682291892349246</v>
      </c>
      <c r="AW72" s="86">
        <f t="shared" si="166"/>
        <v>-0.8022968339345018</v>
      </c>
      <c r="AX72" s="86">
        <f t="shared" si="166"/>
        <v>0.59155711685321155</v>
      </c>
      <c r="AY72" s="86">
        <f t="shared" si="166"/>
        <v>0.56761967170861249</v>
      </c>
      <c r="AZ72" s="86">
        <f t="shared" si="166"/>
        <v>0.97585587816504671</v>
      </c>
      <c r="BA72" s="86">
        <f t="shared" si="166"/>
        <v>0.92593664988494295</v>
      </c>
      <c r="BB72" s="86">
        <f t="shared" si="166"/>
        <v>0</v>
      </c>
      <c r="BC72" s="86">
        <f t="shared" si="166"/>
        <v>0.56314853513583796</v>
      </c>
      <c r="BD72" s="86">
        <f t="shared" ref="BD72:BE72" si="167">IFERROR(BD33/BD12,0)</f>
        <v>0.69240713753124294</v>
      </c>
      <c r="BE72" s="86">
        <f t="shared" si="167"/>
        <v>0.66643713850453123</v>
      </c>
      <c r="BF72" s="86">
        <f t="shared" ref="BF72:BG72" si="168">IFERROR(BF33/BF12,0)</f>
        <v>0.7916132837467591</v>
      </c>
      <c r="BG72" s="86">
        <f t="shared" si="168"/>
        <v>0.84208845063441484</v>
      </c>
      <c r="BH72" s="86">
        <f t="shared" ref="BH72:BI72" si="169">IFERROR(BH33/BH12,0)</f>
        <v>0</v>
      </c>
      <c r="BI72" s="86">
        <f t="shared" si="169"/>
        <v>0.60598864481694037</v>
      </c>
      <c r="BJ72" s="86">
        <f t="shared" si="166"/>
        <v>0.59409894973549937</v>
      </c>
      <c r="BK72" s="86">
        <f t="shared" si="166"/>
        <v>0.67600117667242654</v>
      </c>
    </row>
    <row r="73" spans="1:63" x14ac:dyDescent="0.2">
      <c r="A73" s="207" t="s">
        <v>110</v>
      </c>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c r="BK73" s="208"/>
    </row>
    <row r="74" spans="1:63" x14ac:dyDescent="0.2">
      <c r="A74" s="96" t="s">
        <v>284</v>
      </c>
      <c r="B74" s="86">
        <f t="shared" ref="B74:AG74" si="170">IFERROR(B41/B38,0)</f>
        <v>0</v>
      </c>
      <c r="C74" s="86">
        <f t="shared" si="170"/>
        <v>0.20371796473584994</v>
      </c>
      <c r="D74" s="86">
        <f t="shared" si="170"/>
        <v>0.1274400856190534</v>
      </c>
      <c r="E74" s="86">
        <f t="shared" si="170"/>
        <v>0.13233137538325737</v>
      </c>
      <c r="F74" s="86">
        <f t="shared" si="170"/>
        <v>7.0606637625914473E-2</v>
      </c>
      <c r="G74" s="86">
        <f t="shared" si="170"/>
        <v>0.12609108550929737</v>
      </c>
      <c r="H74" s="86">
        <f t="shared" si="170"/>
        <v>0.27440829268714367</v>
      </c>
      <c r="I74" s="86">
        <f t="shared" si="170"/>
        <v>-0.46218398155591928</v>
      </c>
      <c r="J74" s="86">
        <f t="shared" si="170"/>
        <v>0</v>
      </c>
      <c r="K74" s="86">
        <f t="shared" si="170"/>
        <v>-1.1026618159519221E-2</v>
      </c>
      <c r="L74" s="86">
        <f t="shared" si="170"/>
        <v>0.14917251474586685</v>
      </c>
      <c r="M74" s="86">
        <f t="shared" si="170"/>
        <v>3.1667537816745014E-2</v>
      </c>
      <c r="N74" s="86">
        <f t="shared" si="170"/>
        <v>0</v>
      </c>
      <c r="O74" s="86">
        <f t="shared" si="170"/>
        <v>6.3113077464264797E-2</v>
      </c>
      <c r="P74" s="86">
        <f t="shared" si="170"/>
        <v>0.16467346640877489</v>
      </c>
      <c r="Q74" s="86">
        <f t="shared" si="170"/>
        <v>0.15777809968357098</v>
      </c>
      <c r="R74" s="86">
        <f t="shared" si="170"/>
        <v>0</v>
      </c>
      <c r="S74" s="86">
        <f t="shared" si="170"/>
        <v>0.25131711949030539</v>
      </c>
      <c r="T74" s="86">
        <f t="shared" si="170"/>
        <v>0.14507127915156726</v>
      </c>
      <c r="U74" s="86">
        <f t="shared" si="170"/>
        <v>0.14447746793219349</v>
      </c>
      <c r="V74" s="86">
        <f t="shared" si="170"/>
        <v>0.11948282092663226</v>
      </c>
      <c r="W74" s="86">
        <f t="shared" si="170"/>
        <v>6.7733296067637075E-2</v>
      </c>
      <c r="X74" s="86">
        <f t="shared" si="170"/>
        <v>0</v>
      </c>
      <c r="Y74" s="86">
        <f t="shared" si="170"/>
        <v>5.901926883138605E-2</v>
      </c>
      <c r="Z74" s="86">
        <f t="shared" si="170"/>
        <v>4.5808866586180544E-3</v>
      </c>
      <c r="AA74" s="86">
        <f t="shared" si="170"/>
        <v>6.1073892478725807E-2</v>
      </c>
      <c r="AB74" s="86">
        <f t="shared" si="170"/>
        <v>2.5441757546111249E-2</v>
      </c>
      <c r="AC74" s="86">
        <f t="shared" si="170"/>
        <v>3.9636109269344952E-2</v>
      </c>
      <c r="AD74" s="86">
        <f t="shared" si="170"/>
        <v>0</v>
      </c>
      <c r="AE74" s="86">
        <f t="shared" si="170"/>
        <v>4.4470664535795762E-2</v>
      </c>
      <c r="AF74" s="86">
        <f t="shared" si="170"/>
        <v>0</v>
      </c>
      <c r="AG74" s="86">
        <f t="shared" si="170"/>
        <v>1.1788048781817488E-2</v>
      </c>
      <c r="AH74" s="86">
        <f t="shared" ref="AH74:BK74" si="171">IFERROR(AH41/AH38,0)</f>
        <v>0.12609541835042412</v>
      </c>
      <c r="AI74" s="86">
        <f t="shared" si="171"/>
        <v>0.19564710001166996</v>
      </c>
      <c r="AJ74" s="86">
        <f t="shared" si="171"/>
        <v>0.14775330345484386</v>
      </c>
      <c r="AK74" s="86">
        <f t="shared" si="171"/>
        <v>0.15880216703984631</v>
      </c>
      <c r="AL74" s="86">
        <f t="shared" si="171"/>
        <v>0</v>
      </c>
      <c r="AM74" s="86">
        <f t="shared" si="171"/>
        <v>5.3464388966102103E-2</v>
      </c>
      <c r="AN74" s="86">
        <f t="shared" si="171"/>
        <v>0.58595585715862286</v>
      </c>
      <c r="AO74" s="86">
        <f t="shared" si="171"/>
        <v>0.74048144527545179</v>
      </c>
      <c r="AP74" s="86">
        <f t="shared" si="171"/>
        <v>0</v>
      </c>
      <c r="AQ74" s="86">
        <f t="shared" si="171"/>
        <v>3.3138959087494022E-2</v>
      </c>
      <c r="AR74" s="86">
        <f t="shared" si="171"/>
        <v>0</v>
      </c>
      <c r="AS74" s="86">
        <f t="shared" si="171"/>
        <v>0.4539436881608197</v>
      </c>
      <c r="AT74" s="86">
        <f t="shared" si="171"/>
        <v>0.14648356278367525</v>
      </c>
      <c r="AU74" s="86">
        <f t="shared" si="171"/>
        <v>0.11218013045377252</v>
      </c>
      <c r="AV74" s="86">
        <f t="shared" si="171"/>
        <v>7.4694753020482403E-3</v>
      </c>
      <c r="AW74" s="86">
        <f t="shared" si="171"/>
        <v>9.963724938302939E-3</v>
      </c>
      <c r="AX74" s="86">
        <f t="shared" si="171"/>
        <v>-2.112650877066019E-3</v>
      </c>
      <c r="AY74" s="86">
        <f t="shared" si="171"/>
        <v>-0.44428937563778431</v>
      </c>
      <c r="AZ74" s="86">
        <f t="shared" si="171"/>
        <v>2.6090255463275727E-2</v>
      </c>
      <c r="BA74" s="86">
        <f t="shared" si="171"/>
        <v>5.5189532513683928E-2</v>
      </c>
      <c r="BB74" s="86">
        <f t="shared" si="171"/>
        <v>0</v>
      </c>
      <c r="BC74" s="86">
        <f t="shared" si="171"/>
        <v>0.16988082686819361</v>
      </c>
      <c r="BD74" s="86">
        <f t="shared" ref="BD74:BE74" si="172">IFERROR(BD41/BD38,0)</f>
        <v>0.52157696455836822</v>
      </c>
      <c r="BE74" s="86">
        <f t="shared" si="172"/>
        <v>0.59351991034453533</v>
      </c>
      <c r="BF74" s="86">
        <f t="shared" ref="BF74:BG74" si="173">IFERROR(BF41/BF38,0)</f>
        <v>0.19489359642075635</v>
      </c>
      <c r="BG74" s="86">
        <f t="shared" si="173"/>
        <v>0.12652662587546751</v>
      </c>
      <c r="BH74" s="86">
        <f t="shared" ref="BH74:BI74" si="174">IFERROR(BH41/BH38,0)</f>
        <v>0</v>
      </c>
      <c r="BI74" s="86">
        <f t="shared" si="174"/>
        <v>4.8400200938229353E-2</v>
      </c>
      <c r="BJ74" s="86">
        <f t="shared" si="171"/>
        <v>0.14862865173118678</v>
      </c>
      <c r="BK74" s="86">
        <f t="shared" si="171"/>
        <v>0.12926593526714347</v>
      </c>
    </row>
    <row r="75" spans="1:63" x14ac:dyDescent="0.2">
      <c r="A75" s="96" t="s">
        <v>88</v>
      </c>
      <c r="B75" s="86">
        <f t="shared" ref="B75:AG75" si="175">IFERROR(+B46/B38,0)</f>
        <v>0</v>
      </c>
      <c r="C75" s="86">
        <f t="shared" si="175"/>
        <v>0.13633678378971825</v>
      </c>
      <c r="D75" s="86">
        <f t="shared" si="175"/>
        <v>7.5387907981199112E-2</v>
      </c>
      <c r="E75" s="86">
        <f t="shared" si="175"/>
        <v>7.7196611609295918E-2</v>
      </c>
      <c r="F75" s="86">
        <f t="shared" si="175"/>
        <v>-3.9720959860605747E-2</v>
      </c>
      <c r="G75" s="86">
        <f t="shared" si="175"/>
        <v>0.11332172007368795</v>
      </c>
      <c r="H75" s="86">
        <f t="shared" si="175"/>
        <v>0.17408734604979142</v>
      </c>
      <c r="I75" s="86">
        <f t="shared" si="175"/>
        <v>-0.32007037246076125</v>
      </c>
      <c r="J75" s="86">
        <f t="shared" si="175"/>
        <v>0</v>
      </c>
      <c r="K75" s="86">
        <f t="shared" si="175"/>
        <v>-6.0555423379203615E-3</v>
      </c>
      <c r="L75" s="86">
        <f t="shared" si="175"/>
        <v>-5.696785798223334E-2</v>
      </c>
      <c r="M75" s="86">
        <f t="shared" si="175"/>
        <v>1.6219806418996511E-2</v>
      </c>
      <c r="N75" s="86">
        <f t="shared" si="175"/>
        <v>0</v>
      </c>
      <c r="O75" s="86">
        <f t="shared" si="175"/>
        <v>5.6037508814696796E-2</v>
      </c>
      <c r="P75" s="86">
        <f t="shared" si="175"/>
        <v>8.8725934601324052E-2</v>
      </c>
      <c r="Q75" s="86">
        <f t="shared" si="175"/>
        <v>0.11649178789935082</v>
      </c>
      <c r="R75" s="86">
        <f t="shared" si="175"/>
        <v>0</v>
      </c>
      <c r="S75" s="86">
        <f t="shared" si="175"/>
        <v>5.7846050173063372E-2</v>
      </c>
      <c r="T75" s="86">
        <f t="shared" si="175"/>
        <v>4.9757869536436343E-2</v>
      </c>
      <c r="U75" s="86">
        <f t="shared" si="175"/>
        <v>3.8450743953964611E-2</v>
      </c>
      <c r="V75" s="86">
        <f t="shared" si="175"/>
        <v>9.1177732603301004E-2</v>
      </c>
      <c r="W75" s="86">
        <f t="shared" si="175"/>
        <v>3.270968007185085E-2</v>
      </c>
      <c r="X75" s="86">
        <f t="shared" si="175"/>
        <v>0</v>
      </c>
      <c r="Y75" s="86">
        <f t="shared" si="175"/>
        <v>2.4218351502702219E-2</v>
      </c>
      <c r="Z75" s="86">
        <f t="shared" si="175"/>
        <v>2.1764205057694393E-2</v>
      </c>
      <c r="AA75" s="86">
        <f t="shared" si="175"/>
        <v>5.3485565365714499E-2</v>
      </c>
      <c r="AB75" s="86">
        <f t="shared" si="175"/>
        <v>1.9308292804301026E-2</v>
      </c>
      <c r="AC75" s="86">
        <f t="shared" si="175"/>
        <v>3.584887407660213E-2</v>
      </c>
      <c r="AD75" s="86">
        <f t="shared" si="175"/>
        <v>0</v>
      </c>
      <c r="AE75" s="86">
        <f t="shared" si="175"/>
        <v>4.4941452820096803E-2</v>
      </c>
      <c r="AF75" s="86">
        <f t="shared" si="175"/>
        <v>0</v>
      </c>
      <c r="AG75" s="86">
        <f t="shared" si="175"/>
        <v>7.8982603623200254E-3</v>
      </c>
      <c r="AH75" s="86">
        <f t="shared" ref="AH75:BK75" si="176">IFERROR(+AH46/AH38,0)</f>
        <v>5.4439297058315676E-2</v>
      </c>
      <c r="AI75" s="86">
        <f t="shared" si="176"/>
        <v>0.10860195699515993</v>
      </c>
      <c r="AJ75" s="86">
        <f t="shared" si="176"/>
        <v>0.14201857741746057</v>
      </c>
      <c r="AK75" s="86">
        <f t="shared" si="176"/>
        <v>0.15267536740467069</v>
      </c>
      <c r="AL75" s="86">
        <f t="shared" si="176"/>
        <v>0</v>
      </c>
      <c r="AM75" s="86">
        <f t="shared" si="176"/>
        <v>7.1164774882419679E-2</v>
      </c>
      <c r="AN75" s="86">
        <f t="shared" si="176"/>
        <v>0.33399990306919197</v>
      </c>
      <c r="AO75" s="86">
        <f t="shared" si="176"/>
        <v>0.30066949127299647</v>
      </c>
      <c r="AP75" s="86">
        <f t="shared" si="176"/>
        <v>0</v>
      </c>
      <c r="AQ75" s="86">
        <f t="shared" si="176"/>
        <v>3.6285089816269381E-4</v>
      </c>
      <c r="AR75" s="86">
        <f t="shared" si="176"/>
        <v>0</v>
      </c>
      <c r="AS75" s="86">
        <f t="shared" si="176"/>
        <v>0.17862780918894275</v>
      </c>
      <c r="AT75" s="86">
        <f t="shared" si="176"/>
        <v>7.9067295406864899E-2</v>
      </c>
      <c r="AU75" s="86">
        <f t="shared" si="176"/>
        <v>3.325812092416431E-2</v>
      </c>
      <c r="AV75" s="86">
        <f t="shared" si="176"/>
        <v>-3.5450756666657621E-3</v>
      </c>
      <c r="AW75" s="86">
        <f t="shared" si="176"/>
        <v>4.3275974367922099E-3</v>
      </c>
      <c r="AX75" s="86">
        <f t="shared" si="176"/>
        <v>3.240012486606888E-3</v>
      </c>
      <c r="AY75" s="86">
        <f t="shared" si="176"/>
        <v>-0.22813318178277406</v>
      </c>
      <c r="AZ75" s="86">
        <f t="shared" si="176"/>
        <v>2.2515872181516506E-2</v>
      </c>
      <c r="BA75" s="86">
        <f t="shared" si="176"/>
        <v>4.5988732172000946E-2</v>
      </c>
      <c r="BB75" s="86">
        <f t="shared" si="176"/>
        <v>0</v>
      </c>
      <c r="BC75" s="86">
        <f t="shared" si="176"/>
        <v>7.6766035126097823E-2</v>
      </c>
      <c r="BD75" s="86">
        <f t="shared" ref="BD75:BE75" si="177">IFERROR(+BD46/BD38,0)</f>
        <v>7.1746388164612929E-2</v>
      </c>
      <c r="BE75" s="86">
        <f t="shared" si="177"/>
        <v>7.4918879038350261E-2</v>
      </c>
      <c r="BF75" s="86">
        <f t="shared" ref="BF75:BG75" si="178">IFERROR(+BF46/BF38,0)</f>
        <v>0.10127590068633581</v>
      </c>
      <c r="BG75" s="86">
        <f t="shared" si="178"/>
        <v>8.3455235623033697E-2</v>
      </c>
      <c r="BH75" s="86">
        <f t="shared" ref="BH75:BI75" si="179">IFERROR(+BH46/BH38,0)</f>
        <v>0</v>
      </c>
      <c r="BI75" s="86">
        <f t="shared" si="179"/>
        <v>2.9118961953728303E-2</v>
      </c>
      <c r="BJ75" s="86">
        <f t="shared" si="176"/>
        <v>6.4723533223557436E-2</v>
      </c>
      <c r="BK75" s="86">
        <f t="shared" si="176"/>
        <v>8.3447802152371894E-2</v>
      </c>
    </row>
    <row r="76" spans="1:63" x14ac:dyDescent="0.2">
      <c r="A76" s="207" t="s">
        <v>89</v>
      </c>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c r="BK76" s="208"/>
    </row>
    <row r="77" spans="1:63" ht="24" x14ac:dyDescent="0.2">
      <c r="A77" s="204" t="s">
        <v>194</v>
      </c>
      <c r="B77" s="205">
        <f t="shared" ref="B77:AO77" si="180">B10-B14</f>
        <v>0</v>
      </c>
      <c r="C77" s="205">
        <f t="shared" si="180"/>
        <v>456715842</v>
      </c>
      <c r="D77" s="205">
        <f t="shared" si="180"/>
        <v>13484376215</v>
      </c>
      <c r="E77" s="205">
        <f t="shared" si="180"/>
        <v>13577579007</v>
      </c>
      <c r="F77" s="205">
        <f t="shared" si="180"/>
        <v>-1836128000</v>
      </c>
      <c r="G77" s="205">
        <f t="shared" si="180"/>
        <v>-2206948000</v>
      </c>
      <c r="H77" s="205">
        <f t="shared" si="180"/>
        <v>899010544</v>
      </c>
      <c r="I77" s="205">
        <f t="shared" si="180"/>
        <v>693456236</v>
      </c>
      <c r="J77" s="205">
        <f t="shared" si="180"/>
        <v>0</v>
      </c>
      <c r="K77" s="205">
        <f t="shared" si="180"/>
        <v>544617185</v>
      </c>
      <c r="L77" s="205">
        <f t="shared" si="180"/>
        <v>204623650</v>
      </c>
      <c r="M77" s="205">
        <f t="shared" si="180"/>
        <v>193040384</v>
      </c>
      <c r="N77" s="205">
        <f t="shared" si="180"/>
        <v>0</v>
      </c>
      <c r="O77" s="205">
        <f t="shared" si="180"/>
        <v>123254167</v>
      </c>
      <c r="P77" s="205">
        <f t="shared" si="180"/>
        <v>887788000</v>
      </c>
      <c r="Q77" s="205">
        <f t="shared" si="180"/>
        <v>7065134000</v>
      </c>
      <c r="R77" s="205">
        <f t="shared" si="180"/>
        <v>0</v>
      </c>
      <c r="S77" s="205">
        <f t="shared" si="180"/>
        <v>-1905000</v>
      </c>
      <c r="T77" s="205">
        <f t="shared" si="180"/>
        <v>379771976</v>
      </c>
      <c r="U77" s="205">
        <f t="shared" si="180"/>
        <v>289787779</v>
      </c>
      <c r="V77" s="205">
        <f t="shared" si="180"/>
        <v>421223520</v>
      </c>
      <c r="W77" s="205">
        <f t="shared" si="180"/>
        <v>679134833</v>
      </c>
      <c r="X77" s="205">
        <f t="shared" si="180"/>
        <v>0</v>
      </c>
      <c r="Y77" s="205">
        <f t="shared" si="180"/>
        <v>2555617460</v>
      </c>
      <c r="Z77" s="205">
        <f t="shared" si="180"/>
        <v>679190512</v>
      </c>
      <c r="AA77" s="205">
        <f t="shared" si="180"/>
        <v>952419643</v>
      </c>
      <c r="AB77" s="205">
        <f t="shared" si="180"/>
        <v>64874216</v>
      </c>
      <c r="AC77" s="205">
        <f t="shared" si="180"/>
        <v>160895781</v>
      </c>
      <c r="AD77" s="205">
        <f t="shared" si="180"/>
        <v>0</v>
      </c>
      <c r="AE77" s="205">
        <f t="shared" si="180"/>
        <v>991702521</v>
      </c>
      <c r="AF77" s="205">
        <f t="shared" si="180"/>
        <v>0</v>
      </c>
      <c r="AG77" s="205">
        <f t="shared" si="180"/>
        <v>68574686</v>
      </c>
      <c r="AH77" s="205">
        <f t="shared" si="180"/>
        <v>857432000</v>
      </c>
      <c r="AI77" s="205">
        <f t="shared" si="180"/>
        <v>683159000</v>
      </c>
      <c r="AJ77" s="205">
        <f t="shared" si="180"/>
        <v>48699546</v>
      </c>
      <c r="AK77" s="205">
        <f t="shared" si="180"/>
        <v>66624340</v>
      </c>
      <c r="AL77" s="205">
        <f t="shared" si="180"/>
        <v>0</v>
      </c>
      <c r="AM77" s="205">
        <f t="shared" si="180"/>
        <v>586006495</v>
      </c>
      <c r="AN77" s="205">
        <f t="shared" si="180"/>
        <v>4090661442</v>
      </c>
      <c r="AO77" s="205">
        <f t="shared" si="180"/>
        <v>4594021183</v>
      </c>
      <c r="AP77" s="205">
        <f t="shared" ref="AP77:AQ77" si="181">AP10-AP14</f>
        <v>0</v>
      </c>
      <c r="AQ77" s="205">
        <f t="shared" si="181"/>
        <v>14690000</v>
      </c>
      <c r="AR77" s="205">
        <f t="shared" ref="AR77:AS77" si="182">AR10-AR14</f>
        <v>0</v>
      </c>
      <c r="AS77" s="205">
        <f t="shared" si="182"/>
        <v>1926026296</v>
      </c>
      <c r="AT77" s="205">
        <f t="shared" ref="AT77:AU77" si="183">AT10-AT14</f>
        <v>1262736000</v>
      </c>
      <c r="AU77" s="205">
        <f t="shared" si="183"/>
        <v>928743000</v>
      </c>
      <c r="AV77" s="205">
        <f t="shared" ref="AV77:AW77" si="184">AV10-AV14</f>
        <v>-473004780</v>
      </c>
      <c r="AW77" s="205">
        <f t="shared" si="184"/>
        <v>-451663211</v>
      </c>
      <c r="AX77" s="205">
        <f t="shared" ref="AX77:AY77" si="185">AX10-AX14</f>
        <v>447713203</v>
      </c>
      <c r="AY77" s="205">
        <f t="shared" si="185"/>
        <v>222804571</v>
      </c>
      <c r="AZ77" s="205">
        <f t="shared" ref="AZ77:BA77" si="186">AZ10-AZ14</f>
        <v>671398000</v>
      </c>
      <c r="BA77" s="205">
        <f t="shared" si="186"/>
        <v>725719320</v>
      </c>
      <c r="BB77" s="205">
        <f t="shared" ref="BB77:BC77" si="187">BB10-BB14</f>
        <v>0</v>
      </c>
      <c r="BC77" s="205">
        <f t="shared" si="187"/>
        <v>267307650</v>
      </c>
      <c r="BD77" s="205">
        <f t="shared" ref="BD77:BE77" si="188">BD10-BD14</f>
        <v>675811185</v>
      </c>
      <c r="BE77" s="205">
        <f t="shared" si="188"/>
        <v>501511499</v>
      </c>
      <c r="BF77" s="205">
        <f t="shared" ref="BF77:BG77" si="189">BF10-BF14</f>
        <v>979337356</v>
      </c>
      <c r="BG77" s="205">
        <f t="shared" si="189"/>
        <v>993771913</v>
      </c>
      <c r="BH77" s="205">
        <f t="shared" ref="BH77:BI77" si="190">BH10-BH14</f>
        <v>0</v>
      </c>
      <c r="BI77" s="205">
        <f t="shared" si="190"/>
        <v>47401015</v>
      </c>
      <c r="BJ77" s="205">
        <f t="shared" ref="BJ77:BK77" si="191">BJ10-BJ14</f>
        <v>23745514585</v>
      </c>
      <c r="BK77" s="205">
        <f t="shared" si="191"/>
        <v>37249199595</v>
      </c>
    </row>
    <row r="78" spans="1:63" x14ac:dyDescent="0.2">
      <c r="A78" s="207" t="s">
        <v>219</v>
      </c>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208"/>
      <c r="BE78" s="208"/>
      <c r="BF78" s="208"/>
      <c r="BG78" s="208"/>
      <c r="BH78" s="208"/>
      <c r="BI78" s="208"/>
      <c r="BJ78" s="208"/>
      <c r="BK78" s="208"/>
    </row>
    <row r="79" spans="1:63" x14ac:dyDescent="0.2">
      <c r="A79" s="96" t="s">
        <v>220</v>
      </c>
      <c r="B79" s="86"/>
      <c r="C79" s="86" t="str">
        <f>IFERROR(C12/B12-1,"")</f>
        <v/>
      </c>
      <c r="D79" s="86"/>
      <c r="E79" s="86">
        <f>IFERROR(E12/D12-1,"")</f>
        <v>5.3263143544590719E-4</v>
      </c>
      <c r="F79" s="86"/>
      <c r="G79" s="86">
        <f>IFERROR(G12/F12-1,"")</f>
        <v>3.587308110260734E-2</v>
      </c>
      <c r="H79" s="86"/>
      <c r="I79" s="86">
        <f>IFERROR(I12/H12-1,"")</f>
        <v>-0.31916635408741534</v>
      </c>
      <c r="J79" s="86"/>
      <c r="K79" s="86" t="str">
        <f>IFERROR(K12/J12-1,"")</f>
        <v/>
      </c>
      <c r="L79" s="86"/>
      <c r="M79" s="86">
        <f>IFERROR(M12/L12-1,"")</f>
        <v>4.4662404636427899E-2</v>
      </c>
      <c r="N79" s="86"/>
      <c r="O79" s="86" t="str">
        <f>IFERROR(O12/N12-1,"")</f>
        <v/>
      </c>
      <c r="P79" s="86"/>
      <c r="Q79" s="86">
        <f>IFERROR(Q12/P12-1,"")</f>
        <v>-4.5530319360557736E-2</v>
      </c>
      <c r="R79" s="86"/>
      <c r="S79" s="86" t="str">
        <f>IFERROR(S12/R12-1,"")</f>
        <v/>
      </c>
      <c r="T79" s="86"/>
      <c r="U79" s="86">
        <f>IFERROR(U12/T12-1,"")</f>
        <v>-1.4913960580688945E-2</v>
      </c>
      <c r="V79" s="86"/>
      <c r="W79" s="86">
        <f>IFERROR(W12/V12-1,"")</f>
        <v>0.28404071309411716</v>
      </c>
      <c r="X79" s="86"/>
      <c r="Y79" s="86" t="str">
        <f>IFERROR(Y12/X12-1,"")</f>
        <v/>
      </c>
      <c r="Z79" s="86"/>
      <c r="AA79" s="86">
        <f>IFERROR(AA12/Z12-1,"")</f>
        <v>0.2220224869629841</v>
      </c>
      <c r="AB79" s="86"/>
      <c r="AC79" s="86">
        <f>IFERROR(AC12/AB12-1,"")</f>
        <v>0.22488732722535754</v>
      </c>
      <c r="AD79" s="86"/>
      <c r="AE79" s="86" t="str">
        <f>IFERROR(AE12/AD12-1,"")</f>
        <v/>
      </c>
      <c r="AF79" s="86"/>
      <c r="AG79" s="86" t="str">
        <f>IFERROR(AG12/AF12-1,"")</f>
        <v/>
      </c>
      <c r="AH79" s="86"/>
      <c r="AI79" s="86">
        <f>IFERROR(AI12/AH12-1,"")</f>
        <v>-0.21754280091542322</v>
      </c>
      <c r="AJ79" s="86"/>
      <c r="AK79" s="86">
        <f>IFERROR(AK12/AJ12-1,"")</f>
        <v>-1.1715304170480612E-2</v>
      </c>
      <c r="AL79" s="86"/>
      <c r="AM79" s="86" t="str">
        <f>IFERROR(AM12/AL12-1,"")</f>
        <v/>
      </c>
      <c r="AN79" s="86"/>
      <c r="AO79" s="86">
        <f>IFERROR(AO12/AN12-1,"")</f>
        <v>0.16183277932208706</v>
      </c>
      <c r="AP79" s="86"/>
      <c r="AQ79" s="86" t="str">
        <f>IFERROR(AQ12/AP12-1,"")</f>
        <v/>
      </c>
      <c r="AR79" s="86"/>
      <c r="AS79" s="86" t="str">
        <f>IFERROR(AS12/AR12-1,"")</f>
        <v/>
      </c>
      <c r="AT79" s="86"/>
      <c r="AU79" s="86">
        <f>IFERROR(AU12/AT12-1,"")</f>
        <v>8.8443596615242814E-2</v>
      </c>
      <c r="AV79" s="86"/>
      <c r="AW79" s="86">
        <f>IFERROR(AW12/AV12-1,"")</f>
        <v>0.12730551932792644</v>
      </c>
      <c r="AX79" s="86"/>
      <c r="AY79" s="86">
        <f>IFERROR(AY12/AX12-1,"")</f>
        <v>-1.8340830666896402E-3</v>
      </c>
      <c r="AZ79" s="86"/>
      <c r="BA79" s="86">
        <f>IFERROR(BA12/AZ12-1,"")</f>
        <v>0.12462641493960747</v>
      </c>
      <c r="BB79" s="86"/>
      <c r="BC79" s="86" t="str">
        <f>IFERROR(BC12/BB12-1,"")</f>
        <v/>
      </c>
      <c r="BD79" s="86"/>
      <c r="BE79" s="86">
        <f>IFERROR(BE12/BD12-1,"")</f>
        <v>-0.10745192691854699</v>
      </c>
      <c r="BF79" s="86"/>
      <c r="BG79" s="86">
        <f>IFERROR(BG12/BF12-1,"")</f>
        <v>-2.6548455171881979E-3</v>
      </c>
      <c r="BH79" s="86"/>
      <c r="BI79" s="86" t="str">
        <f>IFERROR(BI12/BH12-1,"")</f>
        <v/>
      </c>
      <c r="BJ79" s="86"/>
      <c r="BK79" s="86">
        <f>IFERROR(BK12/BJ12-1,"")</f>
        <v>0.15442622736322686</v>
      </c>
    </row>
    <row r="80" spans="1:63" x14ac:dyDescent="0.2">
      <c r="A80" s="96" t="s">
        <v>221</v>
      </c>
      <c r="B80" s="86"/>
      <c r="C80" s="86" t="str">
        <f>IFERROR(C16/B16-1,"")</f>
        <v/>
      </c>
      <c r="D80" s="86"/>
      <c r="E80" s="86">
        <f>IFERROR(E16/D16-1,"")</f>
        <v>-0.27929423709578272</v>
      </c>
      <c r="F80" s="86"/>
      <c r="G80" s="86">
        <f>IFERROR(G16/F16-1,"")</f>
        <v>-0.22047773087059641</v>
      </c>
      <c r="H80" s="86"/>
      <c r="I80" s="86">
        <f>IFERROR(I16/H16-1,"")</f>
        <v>-0.12150916547340673</v>
      </c>
      <c r="J80" s="86"/>
      <c r="K80" s="86" t="str">
        <f>IFERROR(K16/J16-1,"")</f>
        <v/>
      </c>
      <c r="L80" s="86"/>
      <c r="M80" s="86">
        <f>IFERROR(M16/L16-1,"")</f>
        <v>0.10259177482384674</v>
      </c>
      <c r="N80" s="86"/>
      <c r="O80" s="86" t="str">
        <f>IFERROR(O16/N16-1,"")</f>
        <v/>
      </c>
      <c r="P80" s="86"/>
      <c r="Q80" s="86">
        <f>IFERROR(Q16/P16-1,"")</f>
        <v>-0.3874658751553296</v>
      </c>
      <c r="R80" s="86"/>
      <c r="S80" s="86" t="str">
        <f>IFERROR(S16/R16-1,"")</f>
        <v/>
      </c>
      <c r="T80" s="86"/>
      <c r="U80" s="86">
        <f>IFERROR(U16/T16-1,"")</f>
        <v>-2.6243524329051082E-2</v>
      </c>
      <c r="V80" s="86"/>
      <c r="W80" s="86">
        <f>IFERROR(W16/V16-1,"")</f>
        <v>0.75183640557016385</v>
      </c>
      <c r="X80" s="86"/>
      <c r="Y80" s="86" t="str">
        <f>IFERROR(Y16/X16-1,"")</f>
        <v/>
      </c>
      <c r="Z80" s="86"/>
      <c r="AA80" s="86">
        <f>IFERROR(AA16/Z16-1,"")</f>
        <v>0.33261246425137458</v>
      </c>
      <c r="AB80" s="86"/>
      <c r="AC80" s="86">
        <f>IFERROR(AC16/AB16-1,"")</f>
        <v>1.7443683086209774</v>
      </c>
      <c r="AD80" s="86"/>
      <c r="AE80" s="86" t="str">
        <f>IFERROR(AE16/AD16-1,"")</f>
        <v/>
      </c>
      <c r="AF80" s="86"/>
      <c r="AG80" s="86" t="str">
        <f>IFERROR(AG16/AF16-1,"")</f>
        <v/>
      </c>
      <c r="AH80" s="86"/>
      <c r="AI80" s="86">
        <f>IFERROR(AI16/AH16-1,"")</f>
        <v>-9.4518175552688821E-2</v>
      </c>
      <c r="AJ80" s="86"/>
      <c r="AK80" s="86">
        <f>IFERROR(AK16/AJ16-1,"")</f>
        <v>-0.3777572588389696</v>
      </c>
      <c r="AL80" s="86"/>
      <c r="AM80" s="86" t="str">
        <f>IFERROR(AM16/AL16-1,"")</f>
        <v/>
      </c>
      <c r="AN80" s="86"/>
      <c r="AO80" s="86">
        <f>IFERROR(AO16/AN16-1,"")</f>
        <v>0.13862974762351743</v>
      </c>
      <c r="AP80" s="86"/>
      <c r="AQ80" s="86" t="str">
        <f>IFERROR(AQ16/AP16-1,"")</f>
        <v/>
      </c>
      <c r="AR80" s="86"/>
      <c r="AS80" s="86" t="str">
        <f>IFERROR(AS16/AR16-1,"")</f>
        <v/>
      </c>
      <c r="AT80" s="86"/>
      <c r="AU80" s="86">
        <f>IFERROR(AU16/AT16-1,"")</f>
        <v>0.5673599933698863</v>
      </c>
      <c r="AV80" s="86"/>
      <c r="AW80" s="86">
        <f>IFERROR(AW16/AV16-1,"")</f>
        <v>4.3617859956710303E-2</v>
      </c>
      <c r="AX80" s="86"/>
      <c r="AY80" s="86">
        <f>IFERROR(AY16/AX16-1,"")</f>
        <v>5.6665018931894018E-2</v>
      </c>
      <c r="AZ80" s="86"/>
      <c r="BA80" s="86">
        <f>IFERROR(BA16/AZ16-1,"")</f>
        <v>2.44985004995005</v>
      </c>
      <c r="BB80" s="86"/>
      <c r="BC80" s="86" t="str">
        <f>IFERROR(BC16/BB16-1,"")</f>
        <v/>
      </c>
      <c r="BD80" s="86"/>
      <c r="BE80" s="86">
        <f>IFERROR(BE16/BD16-1,"")</f>
        <v>-3.2094285641766307E-2</v>
      </c>
      <c r="BF80" s="86"/>
      <c r="BG80" s="86">
        <f>IFERROR(BG16/BF16-1,"")</f>
        <v>-0.24423052760595343</v>
      </c>
      <c r="BH80" s="86"/>
      <c r="BI80" s="86" t="str">
        <f>IFERROR(BI16/BH16-1,"")</f>
        <v/>
      </c>
      <c r="BJ80" s="86"/>
      <c r="BK80" s="86">
        <f>IFERROR(BK16/BJ16-1,"")</f>
        <v>-7.8512511755164716E-2</v>
      </c>
    </row>
    <row r="81" spans="1:63" x14ac:dyDescent="0.2">
      <c r="A81" s="96" t="s">
        <v>222</v>
      </c>
      <c r="B81" s="86"/>
      <c r="C81" s="86" t="str">
        <f>IFERROR(C33/B33-1,"")</f>
        <v/>
      </c>
      <c r="D81" s="86"/>
      <c r="E81" s="86">
        <f>IFERROR(E33/D33-1,"")</f>
        <v>0.27559485316130128</v>
      </c>
      <c r="F81" s="86"/>
      <c r="G81" s="86">
        <f>IFERROR(G33/F33-1,"")</f>
        <v>0.18662218677017628</v>
      </c>
      <c r="H81" s="86"/>
      <c r="I81" s="86">
        <f>IFERROR(I33/H33-1,"")</f>
        <v>-0.58198320082958799</v>
      </c>
      <c r="J81" s="86"/>
      <c r="K81" s="86" t="str">
        <f>IFERROR(K33/J33-1,"")</f>
        <v/>
      </c>
      <c r="L81" s="86"/>
      <c r="M81" s="86">
        <f>IFERROR(M33/L33-1,"")</f>
        <v>2.4270590921715129E-2</v>
      </c>
      <c r="N81" s="86"/>
      <c r="O81" s="86" t="str">
        <f>IFERROR(O33/N33-1,"")</f>
        <v/>
      </c>
      <c r="P81" s="86"/>
      <c r="Q81" s="86">
        <f>IFERROR(Q33/P33-1,"")</f>
        <v>0.25855510584477948</v>
      </c>
      <c r="R81" s="86"/>
      <c r="S81" s="86" t="str">
        <f>IFERROR(S33/R33-1,"")</f>
        <v/>
      </c>
      <c r="T81" s="86"/>
      <c r="U81" s="86">
        <f>IFERROR(U33/T33-1,"")</f>
        <v>-8.2095959059104162E-3</v>
      </c>
      <c r="V81" s="86"/>
      <c r="W81" s="86">
        <f>IFERROR(W33/V33-1,"")</f>
        <v>0.11697232424648352</v>
      </c>
      <c r="X81" s="86"/>
      <c r="Y81" s="86" t="str">
        <f>IFERROR(Y33/X33-1,"")</f>
        <v/>
      </c>
      <c r="Z81" s="86"/>
      <c r="AA81" s="86">
        <f>IFERROR(AA33/Z33-1,"")</f>
        <v>0.19050812873039424</v>
      </c>
      <c r="AB81" s="86"/>
      <c r="AC81" s="86">
        <f>IFERROR(AC33/AB33-1,"")</f>
        <v>4.8588811633550666E-2</v>
      </c>
      <c r="AD81" s="86"/>
      <c r="AE81" s="86" t="str">
        <f>IFERROR(AE33/AD33-1,"")</f>
        <v/>
      </c>
      <c r="AF81" s="86"/>
      <c r="AG81" s="86" t="str">
        <f>IFERROR(AG33/AF33-1,"")</f>
        <v/>
      </c>
      <c r="AH81" s="86"/>
      <c r="AI81" s="86">
        <f>IFERROR(AI33/AH33-1,"")</f>
        <v>-0.42499798850317816</v>
      </c>
      <c r="AJ81" s="86"/>
      <c r="AK81" s="86">
        <f>IFERROR(AK33/AJ33-1,"")</f>
        <v>2.2193430604855457E-2</v>
      </c>
      <c r="AL81" s="86"/>
      <c r="AM81" s="86" t="str">
        <f>IFERROR(AM33/AL33-1,"")</f>
        <v/>
      </c>
      <c r="AN81" s="86"/>
      <c r="AO81" s="86">
        <f>IFERROR(AO33/AN33-1,"")</f>
        <v>0.19191065615131175</v>
      </c>
      <c r="AP81" s="86"/>
      <c r="AQ81" s="86" t="str">
        <f>IFERROR(AQ33/AP33-1,"")</f>
        <v/>
      </c>
      <c r="AR81" s="86"/>
      <c r="AS81" s="86" t="str">
        <f>IFERROR(AS33/AR33-1,"")</f>
        <v/>
      </c>
      <c r="AT81" s="86"/>
      <c r="AU81" s="86">
        <f>IFERROR(AU33/AT33-1,"")</f>
        <v>3.5558607206201076E-2</v>
      </c>
      <c r="AV81" s="86"/>
      <c r="AW81" s="86">
        <f>IFERROR(AW33/AV33-1,"")</f>
        <v>-4.4770008248219195E-2</v>
      </c>
      <c r="AX81" s="86"/>
      <c r="AY81" s="86">
        <f>IFERROR(AY33/AX33-1,"")</f>
        <v>-4.2225012701517239E-2</v>
      </c>
      <c r="AZ81" s="86"/>
      <c r="BA81" s="86">
        <f>IFERROR(BA33/AZ33-1,"")</f>
        <v>6.709693339078604E-2</v>
      </c>
      <c r="BB81" s="86"/>
      <c r="BC81" s="86" t="str">
        <f>IFERROR(BC33/BB33-1,"")</f>
        <v/>
      </c>
      <c r="BD81" s="86"/>
      <c r="BE81" s="86">
        <f>IFERROR(BE33/BD33-1,"")</f>
        <v>-0.14092857863514319</v>
      </c>
      <c r="BF81" s="86"/>
      <c r="BG81" s="86">
        <f>IFERROR(BG33/BF33-1,"")</f>
        <v>6.0938280256101596E-2</v>
      </c>
      <c r="BH81" s="86"/>
      <c r="BI81" s="86" t="str">
        <f>IFERROR(BI33/BH33-1,"")</f>
        <v/>
      </c>
      <c r="BJ81" s="86"/>
      <c r="BK81" s="86">
        <f>IFERROR(BK33/BJ33-1,"")</f>
        <v>0.3135749329745372</v>
      </c>
    </row>
    <row r="82" spans="1:63" x14ac:dyDescent="0.2">
      <c r="A82" s="96" t="s">
        <v>61</v>
      </c>
      <c r="B82" s="86"/>
      <c r="C82" s="86" t="str">
        <f>IFERROR(C38/B38-1,"")</f>
        <v/>
      </c>
      <c r="D82" s="86"/>
      <c r="E82" s="86">
        <f>IFERROR(E38/D38-1,"")</f>
        <v>0.37278365378536726</v>
      </c>
      <c r="F82" s="86"/>
      <c r="G82" s="86">
        <f>IFERROR(G38/F38-1,"")</f>
        <v>1.8716742404113003</v>
      </c>
      <c r="H82" s="86"/>
      <c r="I82" s="86">
        <f>IFERROR(I38/H38-1,"")</f>
        <v>-0.27328590248555573</v>
      </c>
      <c r="J82" s="86"/>
      <c r="K82" s="86" t="str">
        <f>IFERROR(K38/J38-1,"")</f>
        <v/>
      </c>
      <c r="L82" s="86"/>
      <c r="M82" s="86">
        <f>IFERROR(M38/L38-1,"")</f>
        <v>0.53996947556471842</v>
      </c>
      <c r="N82" s="86"/>
      <c r="O82" s="86" t="str">
        <f>IFERROR(O38/N38-1,"")</f>
        <v/>
      </c>
      <c r="P82" s="86"/>
      <c r="Q82" s="86">
        <f>IFERROR(Q38/P38-1,"")</f>
        <v>0.15074866900628936</v>
      </c>
      <c r="R82" s="86"/>
      <c r="S82" s="86" t="str">
        <f>IFERROR(S38/R38-1,"")</f>
        <v/>
      </c>
      <c r="T82" s="86"/>
      <c r="U82" s="86">
        <f>IFERROR(U38/T38-1,"")</f>
        <v>4.5492501287669684E-2</v>
      </c>
      <c r="V82" s="86"/>
      <c r="W82" s="86">
        <f>IFERROR(W38/V38-1,"")</f>
        <v>0.68782029560945479</v>
      </c>
      <c r="X82" s="86"/>
      <c r="Y82" s="86" t="str">
        <f>IFERROR(Y38/X38-1,"")</f>
        <v/>
      </c>
      <c r="Z82" s="86"/>
      <c r="AA82" s="86">
        <f>IFERROR(AA38/Z38-1,"")</f>
        <v>0.19386760290328842</v>
      </c>
      <c r="AB82" s="86"/>
      <c r="AC82" s="86">
        <f>IFERROR(AC38/AB38-1,"")</f>
        <v>1.6934988219922742</v>
      </c>
      <c r="AD82" s="86"/>
      <c r="AE82" s="86" t="str">
        <f>IFERROR(AE38/AD38-1,"")</f>
        <v/>
      </c>
      <c r="AF82" s="86"/>
      <c r="AG82" s="86" t="str">
        <f>IFERROR(AG38/AF38-1,"")</f>
        <v/>
      </c>
      <c r="AH82" s="86"/>
      <c r="AI82" s="86">
        <f>IFERROR(AI38/AH38-1,"")</f>
        <v>-0.32327875259841865</v>
      </c>
      <c r="AJ82" s="86"/>
      <c r="AK82" s="86">
        <f>IFERROR(AK38/AJ38-1,"")</f>
        <v>6.4556542156820385E-2</v>
      </c>
      <c r="AL82" s="86"/>
      <c r="AM82" s="86" t="str">
        <f>IFERROR(AM38/AL38-1,"")</f>
        <v/>
      </c>
      <c r="AN82" s="86"/>
      <c r="AO82" s="86">
        <f>IFERROR(AO38/AN38-1,"")</f>
        <v>0.11534296832956437</v>
      </c>
      <c r="AP82" s="86"/>
      <c r="AQ82" s="86" t="str">
        <f>IFERROR(AQ38/AP38-1,"")</f>
        <v/>
      </c>
      <c r="AR82" s="86"/>
      <c r="AS82" s="86" t="str">
        <f>IFERROR(AS38/AR38-1,"")</f>
        <v/>
      </c>
      <c r="AT82" s="86"/>
      <c r="AU82" s="86">
        <f>IFERROR(AU38/AT38-1,"")</f>
        <v>0.1051522549945203</v>
      </c>
      <c r="AV82" s="86"/>
      <c r="AW82" s="86">
        <f>IFERROR(AW38/AV38-1,"")</f>
        <v>7.1474010145238243E-2</v>
      </c>
      <c r="AX82" s="86"/>
      <c r="AY82" s="86">
        <f>IFERROR(AY38/AX38-1,"")</f>
        <v>-0.26391561804884678</v>
      </c>
      <c r="AZ82" s="86"/>
      <c r="BA82" s="86">
        <f>IFERROR(BA38/AZ38-1,"")</f>
        <v>0.61884473829755149</v>
      </c>
      <c r="BB82" s="86"/>
      <c r="BC82" s="86" t="str">
        <f>IFERROR(BC38/BB38-1,"")</f>
        <v/>
      </c>
      <c r="BD82" s="86"/>
      <c r="BE82" s="86">
        <f>IFERROR(BE38/BD38-1,"")</f>
        <v>6.6371870802876876E-2</v>
      </c>
      <c r="BF82" s="86"/>
      <c r="BG82" s="86">
        <f>IFERROR(BG38/BF38-1,"")</f>
        <v>2.9713322122356445E-2</v>
      </c>
      <c r="BH82" s="86"/>
      <c r="BI82" s="86" t="str">
        <f>IFERROR(BI38/BH38-1,"")</f>
        <v/>
      </c>
      <c r="BJ82" s="86"/>
      <c r="BK82" s="86">
        <f>IFERROR(BK38/BJ38-1,"")</f>
        <v>0.75494688129143039</v>
      </c>
    </row>
    <row r="83" spans="1:63" x14ac:dyDescent="0.2">
      <c r="A83" s="96" t="s">
        <v>223</v>
      </c>
      <c r="B83" s="86"/>
      <c r="C83" s="86" t="str">
        <f>IFERROR(C39/B39-1,"")</f>
        <v/>
      </c>
      <c r="D83" s="86"/>
      <c r="E83" s="86">
        <f>IFERROR(E39/D39-1,"")</f>
        <v>0.33864080946104003</v>
      </c>
      <c r="F83" s="86"/>
      <c r="G83" s="86">
        <f>IFERROR(G39/F39-1,"")</f>
        <v>1.841571054580196</v>
      </c>
      <c r="H83" s="86"/>
      <c r="I83" s="86">
        <f>IFERROR(I39/H39-1,"")</f>
        <v>0.31695184581576674</v>
      </c>
      <c r="J83" s="86"/>
      <c r="K83" s="86" t="str">
        <f>IFERROR(K39/J39-1,"")</f>
        <v/>
      </c>
      <c r="L83" s="86"/>
      <c r="M83" s="86" t="str">
        <f>IFERROR(M39/L39-1,"")</f>
        <v/>
      </c>
      <c r="N83" s="86"/>
      <c r="O83" s="86" t="str">
        <f>IFERROR(O39/N39-1,"")</f>
        <v/>
      </c>
      <c r="P83" s="86"/>
      <c r="Q83" s="86">
        <f>IFERROR(Q39/P39-1,"")</f>
        <v>1.9355712808097669E-2</v>
      </c>
      <c r="R83" s="86"/>
      <c r="S83" s="86" t="str">
        <f>IFERROR(S39/R39-1,"")</f>
        <v/>
      </c>
      <c r="T83" s="86"/>
      <c r="U83" s="86">
        <f>IFERROR(U39/T39-1,"")</f>
        <v>4.1087459497917367E-2</v>
      </c>
      <c r="V83" s="86"/>
      <c r="W83" s="86">
        <f>IFERROR(W39/V39-1,"")</f>
        <v>0.94377879099463091</v>
      </c>
      <c r="X83" s="86"/>
      <c r="Y83" s="86" t="str">
        <f>IFERROR(Y39/X39-1,"")</f>
        <v/>
      </c>
      <c r="Z83" s="86"/>
      <c r="AA83" s="86">
        <f>IFERROR(AA39/Z39-1,"")</f>
        <v>0.129431201462888</v>
      </c>
      <c r="AB83" s="86"/>
      <c r="AC83" s="86">
        <f>IFERROR(AC39/AB39-1,"")</f>
        <v>2.4280963041502623</v>
      </c>
      <c r="AD83" s="86"/>
      <c r="AE83" s="86" t="str">
        <f>IFERROR(AE39/AD39-1,"")</f>
        <v/>
      </c>
      <c r="AF83" s="86"/>
      <c r="AG83" s="86" t="str">
        <f>IFERROR(AG39/AF39-1,"")</f>
        <v/>
      </c>
      <c r="AH83" s="86"/>
      <c r="AI83" s="86">
        <f>IFERROR(AI39/AH39-1,"")</f>
        <v>-0.55795240014665726</v>
      </c>
      <c r="AJ83" s="86"/>
      <c r="AK83" s="86" t="str">
        <f>IFERROR(AK39/AJ39-1,"")</f>
        <v/>
      </c>
      <c r="AL83" s="86"/>
      <c r="AM83" s="86" t="str">
        <f>IFERROR(AM39/AL39-1,"")</f>
        <v/>
      </c>
      <c r="AN83" s="86"/>
      <c r="AO83" s="86" t="str">
        <f>IFERROR(AO39/AN39-1,"")</f>
        <v/>
      </c>
      <c r="AP83" s="86"/>
      <c r="AQ83" s="86" t="str">
        <f>IFERROR(AQ39/AP39-1,"")</f>
        <v/>
      </c>
      <c r="AR83" s="86"/>
      <c r="AS83" s="86" t="str">
        <f>IFERROR(AS39/AR39-1,"")</f>
        <v/>
      </c>
      <c r="AT83" s="86"/>
      <c r="AU83" s="86">
        <f>IFERROR(AU39/AT39-1,"")</f>
        <v>0.2186927533380727</v>
      </c>
      <c r="AV83" s="86"/>
      <c r="AW83" s="86">
        <f>IFERROR(AW39/AV39-1,"")</f>
        <v>3.3313280825368885E-3</v>
      </c>
      <c r="AX83" s="86"/>
      <c r="AY83" s="86">
        <f>IFERROR(AY39/AX39-1,"")</f>
        <v>7.4212219741671914E-2</v>
      </c>
      <c r="AZ83" s="86"/>
      <c r="BA83" s="86">
        <f>IFERROR(BA39/AZ39-1,"")</f>
        <v>-0.25680893982906872</v>
      </c>
      <c r="BB83" s="86"/>
      <c r="BC83" s="86" t="str">
        <f>IFERROR(BC39/BB39-1,"")</f>
        <v/>
      </c>
      <c r="BD83" s="86"/>
      <c r="BE83" s="86">
        <f>IFERROR(BE39/BD39-1,"")</f>
        <v>-9.3983981666155514E-2</v>
      </c>
      <c r="BF83" s="86"/>
      <c r="BG83" s="86">
        <f>IFERROR(BG39/BF39-1,"")</f>
        <v>0.17005314517341374</v>
      </c>
      <c r="BH83" s="86"/>
      <c r="BI83" s="86" t="str">
        <f>IFERROR(BI39/BH39-1,"")</f>
        <v/>
      </c>
      <c r="BJ83" s="86"/>
      <c r="BK83" s="86">
        <f>IFERROR(BK39/BJ39-1,"")</f>
        <v>0.71285986070263485</v>
      </c>
    </row>
    <row r="84" spans="1:63" x14ac:dyDescent="0.2">
      <c r="A84" s="96" t="s">
        <v>224</v>
      </c>
      <c r="B84" s="86"/>
      <c r="C84" s="86" t="str">
        <f>IFERROR(C40/B40-1,"")</f>
        <v/>
      </c>
      <c r="D84" s="86"/>
      <c r="E84" s="86">
        <f>IFERROR(E40/D40-1,"")</f>
        <v>0.47349990762024974</v>
      </c>
      <c r="F84" s="86"/>
      <c r="G84" s="86">
        <f>IFERROR(G40/F40-1,"")</f>
        <v>0.67425388244039963</v>
      </c>
      <c r="H84" s="86"/>
      <c r="I84" s="86">
        <f>IFERROR(I40/H40-1,"")</f>
        <v>1.258226502494145</v>
      </c>
      <c r="J84" s="86"/>
      <c r="K84" s="86" t="str">
        <f>IFERROR(K40/J40-1,"")</f>
        <v/>
      </c>
      <c r="L84" s="86"/>
      <c r="M84" s="86">
        <f>IFERROR(M40/L40-1,"")</f>
        <v>0.75264957915085851</v>
      </c>
      <c r="N84" s="86"/>
      <c r="O84" s="86" t="str">
        <f>IFERROR(O40/N40-1,"")</f>
        <v/>
      </c>
      <c r="P84" s="86"/>
      <c r="Q84" s="86">
        <f>IFERROR(Q40/P40-1,"")</f>
        <v>0.68628074154305629</v>
      </c>
      <c r="R84" s="86"/>
      <c r="S84" s="86" t="str">
        <f>IFERROR(S40/R40-1,"")</f>
        <v/>
      </c>
      <c r="T84" s="86"/>
      <c r="U84" s="86">
        <f>IFERROR(U40/T40-1,"")</f>
        <v>0.12281799008535055</v>
      </c>
      <c r="V84" s="86"/>
      <c r="W84" s="86">
        <f>IFERROR(W40/V40-1,"")</f>
        <v>-4.948865188139917E-2</v>
      </c>
      <c r="X84" s="86"/>
      <c r="Y84" s="86" t="str">
        <f>IFERROR(Y40/X40-1,"")</f>
        <v/>
      </c>
      <c r="Z84" s="86"/>
      <c r="AA84" s="86">
        <f>IFERROR(AA40/Z40-1,"")</f>
        <v>0.10927834563190753</v>
      </c>
      <c r="AB84" s="86"/>
      <c r="AC84" s="86">
        <f>IFERROR(AC40/AB40-1,"")</f>
        <v>7.8877584181929583E-2</v>
      </c>
      <c r="AD84" s="86"/>
      <c r="AE84" s="86" t="str">
        <f>IFERROR(AE40/AD40-1,"")</f>
        <v/>
      </c>
      <c r="AF84" s="86"/>
      <c r="AG84" s="86" t="str">
        <f>IFERROR(AG40/AF40-1,"")</f>
        <v/>
      </c>
      <c r="AH84" s="86"/>
      <c r="AI84" s="86">
        <f>IFERROR(AI40/AH40-1,"")</f>
        <v>-5.704849472903728E-3</v>
      </c>
      <c r="AJ84" s="86"/>
      <c r="AK84" s="86">
        <f>IFERROR(AK40/AJ40-1,"")</f>
        <v>5.0755209678215341E-2</v>
      </c>
      <c r="AL84" s="86"/>
      <c r="AM84" s="86" t="str">
        <f>IFERROR(AM40/AL40-1,"")</f>
        <v/>
      </c>
      <c r="AN84" s="86"/>
      <c r="AO84" s="86">
        <f>IFERROR(AO40/AN40-1,"")</f>
        <v>-0.30091464843165994</v>
      </c>
      <c r="AP84" s="86"/>
      <c r="AQ84" s="86" t="str">
        <f>IFERROR(AQ40/AP40-1,"")</f>
        <v/>
      </c>
      <c r="AR84" s="86"/>
      <c r="AS84" s="86" t="str">
        <f>IFERROR(AS40/AR40-1,"")</f>
        <v/>
      </c>
      <c r="AT84" s="86"/>
      <c r="AU84" s="86">
        <f>IFERROR(AU40/AT40-1,"")</f>
        <v>-0.19943525600933654</v>
      </c>
      <c r="AV84" s="86"/>
      <c r="AW84" s="86">
        <f>IFERROR(AW40/AV40-1,"")</f>
        <v>0.32760041676308727</v>
      </c>
      <c r="AX84" s="86"/>
      <c r="AY84" s="86">
        <f>IFERROR(AY40/AX40-1,"")</f>
        <v>2.1139605522454641E-2</v>
      </c>
      <c r="AZ84" s="86"/>
      <c r="BA84" s="86">
        <f>IFERROR(BA40/AZ40-1,"")</f>
        <v>1.5582030684322166</v>
      </c>
      <c r="BB84" s="86"/>
      <c r="BC84" s="86" t="str">
        <f>IFERROR(BC40/BB40-1,"")</f>
        <v/>
      </c>
      <c r="BD84" s="86"/>
      <c r="BE84" s="86" t="str">
        <f>IFERROR(BE40/BD40-1,"")</f>
        <v/>
      </c>
      <c r="BF84" s="86"/>
      <c r="BG84" s="86">
        <f>IFERROR(BG40/BF40-1,"")</f>
        <v>4.1902792530195798E-2</v>
      </c>
      <c r="BH84" s="86"/>
      <c r="BI84" s="86" t="str">
        <f>IFERROR(BI40/BH40-1,"")</f>
        <v/>
      </c>
      <c r="BJ84" s="86"/>
      <c r="BK84" s="86">
        <f>IFERROR(BK40/BJ40-1,"")</f>
        <v>1.1436906662995927</v>
      </c>
    </row>
    <row r="85" spans="1:63" x14ac:dyDescent="0.2">
      <c r="A85" s="96" t="s">
        <v>64</v>
      </c>
      <c r="B85" s="86"/>
      <c r="C85" s="86" t="str">
        <f>IFERROR(C41/B41-1,"")</f>
        <v/>
      </c>
      <c r="D85" s="86"/>
      <c r="E85" s="86">
        <f>IFERROR(E41/D41-1,"")</f>
        <v>0.42547259072078791</v>
      </c>
      <c r="F85" s="86"/>
      <c r="G85" s="86">
        <f>IFERROR(G41/F41-1,"")</f>
        <v>4.1283071164070062</v>
      </c>
      <c r="H85" s="86"/>
      <c r="I85" s="86">
        <f>IFERROR(I41/H41-1,"")</f>
        <v>-2.2239995072779317</v>
      </c>
      <c r="J85" s="86"/>
      <c r="K85" s="86" t="str">
        <f>IFERROR(K41/J41-1,"")</f>
        <v/>
      </c>
      <c r="L85" s="86"/>
      <c r="M85" s="86">
        <f>IFERROR(M41/L41-1,"")</f>
        <v>-0.67308292893527222</v>
      </c>
      <c r="N85" s="86"/>
      <c r="O85" s="86" t="str">
        <f>IFERROR(O41/N41-1,"")</f>
        <v/>
      </c>
      <c r="P85" s="86"/>
      <c r="Q85" s="86">
        <f>IFERROR(Q41/P41-1,"")</f>
        <v>0.10256340726143898</v>
      </c>
      <c r="R85" s="86"/>
      <c r="S85" s="86" t="str">
        <f>IFERROR(S41/R41-1,"")</f>
        <v/>
      </c>
      <c r="T85" s="86"/>
      <c r="U85" s="86">
        <f>IFERROR(U41/T41-1,"")</f>
        <v>4.121305203578074E-2</v>
      </c>
      <c r="V85" s="86"/>
      <c r="W85" s="86">
        <f>IFERROR(W41/V41-1,"")</f>
        <v>-4.3196077018632928E-2</v>
      </c>
      <c r="X85" s="86"/>
      <c r="Y85" s="86" t="str">
        <f>IFERROR(Y41/X41-1,"")</f>
        <v/>
      </c>
      <c r="Z85" s="86"/>
      <c r="AA85" s="86">
        <f>IFERROR(AA41/Z41-1,"")</f>
        <v>14.917036820017293</v>
      </c>
      <c r="AB85" s="86"/>
      <c r="AC85" s="86">
        <f>IFERROR(AC41/AB41-1,"")</f>
        <v>3.1962436530512344</v>
      </c>
      <c r="AD85" s="86"/>
      <c r="AE85" s="86" t="str">
        <f>IFERROR(AE41/AD41-1,"")</f>
        <v/>
      </c>
      <c r="AF85" s="86"/>
      <c r="AG85" s="86" t="str">
        <f>IFERROR(AG41/AF41-1,"")</f>
        <v/>
      </c>
      <c r="AH85" s="86"/>
      <c r="AI85" s="86">
        <f>IFERROR(AI41/AH41-1,"")</f>
        <v>4.9986996374907777E-2</v>
      </c>
      <c r="AJ85" s="86"/>
      <c r="AK85" s="86">
        <f>IFERROR(AK41/AJ41-1,"")</f>
        <v>0.14416315492136933</v>
      </c>
      <c r="AL85" s="86"/>
      <c r="AM85" s="86" t="str">
        <f>IFERROR(AM41/AL41-1,"")</f>
        <v/>
      </c>
      <c r="AN85" s="86"/>
      <c r="AO85" s="86">
        <f>IFERROR(AO41/AN41-1,"")</f>
        <v>0.40947609461801671</v>
      </c>
      <c r="AP85" s="86"/>
      <c r="AQ85" s="86" t="str">
        <f>IFERROR(AQ41/AP41-1,"")</f>
        <v/>
      </c>
      <c r="AR85" s="86"/>
      <c r="AS85" s="86" t="str">
        <f>IFERROR(AS41/AR41-1,"")</f>
        <v/>
      </c>
      <c r="AT85" s="86"/>
      <c r="AU85" s="86">
        <f>IFERROR(AU41/AT41-1,"")</f>
        <v>-0.15365163312110142</v>
      </c>
      <c r="AV85" s="86"/>
      <c r="AW85" s="86">
        <f>IFERROR(AW41/AV41-1,"")</f>
        <v>0.4292666999916428</v>
      </c>
      <c r="AX85" s="86"/>
      <c r="AY85" s="86">
        <f>IFERROR(AY41/AX41-1,"")</f>
        <v>153.79816093796671</v>
      </c>
      <c r="AZ85" s="86"/>
      <c r="BA85" s="86">
        <f>IFERROR(BA41/AZ41-1,"")</f>
        <v>2.424392852137351</v>
      </c>
      <c r="BB85" s="86"/>
      <c r="BC85" s="86" t="str">
        <f>IFERROR(BC41/BB41-1,"")</f>
        <v/>
      </c>
      <c r="BD85" s="86"/>
      <c r="BE85" s="86">
        <f>IFERROR(BE41/BD41-1,"")</f>
        <v>0.2134602947596822</v>
      </c>
      <c r="BF85" s="86"/>
      <c r="BG85" s="86">
        <f>IFERROR(BG41/BF41-1,"")</f>
        <v>-0.33150111312079733</v>
      </c>
      <c r="BH85" s="86"/>
      <c r="BI85" s="86" t="str">
        <f>IFERROR(BI41/BH41-1,"")</f>
        <v/>
      </c>
      <c r="BJ85" s="86"/>
      <c r="BK85" s="86">
        <f>IFERROR(BK41/BJ41-1,"")</f>
        <v>0.52631977288328158</v>
      </c>
    </row>
    <row r="86" spans="1:63" x14ac:dyDescent="0.2">
      <c r="A86" s="21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row>
    <row r="87" spans="1:63" x14ac:dyDescent="0.2">
      <c r="A87" s="216"/>
    </row>
    <row r="88" spans="1:63" x14ac:dyDescent="0.2">
      <c r="A88" s="216"/>
    </row>
    <row r="89" spans="1:63" x14ac:dyDescent="0.2">
      <c r="A89" s="216"/>
    </row>
    <row r="90" spans="1:63" x14ac:dyDescent="0.2">
      <c r="A90" s="216"/>
    </row>
    <row r="91" spans="1:63" x14ac:dyDescent="0.2">
      <c r="A91" s="216"/>
    </row>
    <row r="92" spans="1:63" x14ac:dyDescent="0.2">
      <c r="A92" s="216"/>
    </row>
    <row r="93" spans="1:63" x14ac:dyDescent="0.2">
      <c r="A93" s="216"/>
    </row>
    <row r="94" spans="1:63" x14ac:dyDescent="0.2">
      <c r="A94" s="216"/>
    </row>
    <row r="95" spans="1:63" x14ac:dyDescent="0.2">
      <c r="A95" s="216"/>
    </row>
    <row r="96" spans="1:63"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216"/>
    </row>
    <row r="127" spans="1:1" x14ac:dyDescent="0.2">
      <c r="A127" s="216"/>
    </row>
    <row r="128" spans="1:1" x14ac:dyDescent="0.2">
      <c r="A128" s="216"/>
    </row>
    <row r="129" spans="1:61" x14ac:dyDescent="0.2">
      <c r="A129" s="216"/>
    </row>
    <row r="130" spans="1:61" x14ac:dyDescent="0.2">
      <c r="A130" s="216"/>
    </row>
    <row r="131" spans="1:61" x14ac:dyDescent="0.2">
      <c r="A131" s="216"/>
    </row>
    <row r="132" spans="1:61" x14ac:dyDescent="0.2">
      <c r="A132" s="216"/>
    </row>
    <row r="133" spans="1:61" x14ac:dyDescent="0.2">
      <c r="A133" s="216"/>
    </row>
    <row r="134" spans="1:61" x14ac:dyDescent="0.2">
      <c r="A134" s="216"/>
    </row>
    <row r="135" spans="1:61" x14ac:dyDescent="0.2">
      <c r="A135" s="216"/>
    </row>
    <row r="136" spans="1:61" x14ac:dyDescent="0.2">
      <c r="A136" s="216"/>
    </row>
    <row r="137" spans="1:61" x14ac:dyDescent="0.2">
      <c r="A137" s="216"/>
    </row>
    <row r="138" spans="1:61" x14ac:dyDescent="0.2">
      <c r="A138" s="216"/>
    </row>
    <row r="139" spans="1:61" x14ac:dyDescent="0.2">
      <c r="A139" s="216"/>
    </row>
    <row r="140" spans="1:61" x14ac:dyDescent="0.2">
      <c r="A140" s="216"/>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row>
    <row r="141" spans="1:61" x14ac:dyDescent="0.2">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c r="BB141" s="245"/>
      <c r="BC141" s="245"/>
      <c r="BD141" s="245"/>
      <c r="BE141" s="245"/>
      <c r="BF141" s="245"/>
      <c r="BG141" s="245"/>
      <c r="BH141" s="245"/>
      <c r="BI141" s="245"/>
    </row>
    <row r="142" spans="1:61" x14ac:dyDescent="0.2">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c r="AA142" s="245"/>
      <c r="AB142" s="245"/>
      <c r="AC142" s="245"/>
    </row>
    <row r="144" spans="1:61" x14ac:dyDescent="0.2">
      <c r="A144" s="244"/>
    </row>
    <row r="145" spans="1:61" x14ac:dyDescent="0.2">
      <c r="A145" s="216"/>
    </row>
    <row r="146" spans="1:61" x14ac:dyDescent="0.2">
      <c r="A146" s="216"/>
    </row>
    <row r="147" spans="1:61" x14ac:dyDescent="0.2">
      <c r="A147" s="216"/>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c r="BB147" s="245"/>
      <c r="BC147" s="245"/>
      <c r="BD147" s="245"/>
      <c r="BE147" s="245"/>
      <c r="BF147" s="245"/>
      <c r="BG147" s="245"/>
      <c r="BH147" s="245"/>
      <c r="BI147" s="245"/>
    </row>
    <row r="148" spans="1:61" x14ac:dyDescent="0.2">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row>
    <row r="150" spans="1:61" x14ac:dyDescent="0.2">
      <c r="AD150" s="245"/>
      <c r="AE150" s="245"/>
      <c r="AF150" s="245"/>
      <c r="AG150" s="245"/>
      <c r="AH150" s="245"/>
      <c r="AI150" s="245"/>
      <c r="AJ150" s="245"/>
      <c r="AK150" s="245"/>
      <c r="AL150" s="245"/>
      <c r="AM150" s="245"/>
      <c r="AN150" s="245"/>
      <c r="AO150" s="245"/>
      <c r="AP150" s="245"/>
      <c r="AQ150" s="245"/>
      <c r="AR150" s="245"/>
      <c r="AS150" s="245"/>
      <c r="AT150" s="245"/>
      <c r="AU150" s="245"/>
      <c r="AV150" s="245"/>
      <c r="AW150" s="245"/>
      <c r="AX150" s="245"/>
      <c r="AY150" s="245"/>
      <c r="AZ150" s="245"/>
      <c r="BA150" s="245"/>
      <c r="BB150" s="245"/>
      <c r="BC150" s="245"/>
      <c r="BD150" s="245"/>
      <c r="BE150" s="245"/>
      <c r="BF150" s="245"/>
      <c r="BG150" s="245"/>
      <c r="BH150" s="245"/>
      <c r="BI150" s="245"/>
    </row>
    <row r="151" spans="1:61" x14ac:dyDescent="0.2">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row>
    <row r="153" spans="1:61" x14ac:dyDescent="0.2">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c r="BB153" s="245"/>
      <c r="BC153" s="245"/>
      <c r="BD153" s="245"/>
      <c r="BE153" s="245"/>
      <c r="BF153" s="245"/>
      <c r="BG153" s="245"/>
      <c r="BH153" s="245"/>
      <c r="BI153" s="245"/>
    </row>
    <row r="154" spans="1:61" x14ac:dyDescent="0.2">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row>
    <row r="155" spans="1:61" x14ac:dyDescent="0.2">
      <c r="AD155" s="245"/>
      <c r="AE155" s="245"/>
      <c r="AF155" s="245"/>
      <c r="AG155" s="245"/>
      <c r="AH155" s="245"/>
      <c r="AI155" s="245"/>
      <c r="AJ155" s="245"/>
      <c r="AK155" s="245"/>
      <c r="AL155" s="245"/>
      <c r="AM155" s="245"/>
      <c r="AN155" s="245"/>
      <c r="AO155" s="245"/>
      <c r="AP155" s="245"/>
      <c r="AQ155" s="245"/>
      <c r="AR155" s="245"/>
      <c r="AS155" s="245"/>
      <c r="AT155" s="245"/>
      <c r="AU155" s="245"/>
      <c r="AV155" s="245"/>
      <c r="AW155" s="245"/>
      <c r="AX155" s="245"/>
      <c r="AY155" s="245"/>
      <c r="AZ155" s="245"/>
      <c r="BA155" s="245"/>
      <c r="BB155" s="245"/>
      <c r="BC155" s="245"/>
      <c r="BD155" s="245"/>
      <c r="BE155" s="245"/>
      <c r="BF155" s="245"/>
      <c r="BG155" s="245"/>
      <c r="BH155" s="245"/>
      <c r="BI155" s="245"/>
    </row>
    <row r="156" spans="1:61" x14ac:dyDescent="0.2">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row>
    <row r="160" spans="1:61" x14ac:dyDescent="0.2">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row>
    <row r="161" spans="1:63" x14ac:dyDescent="0.2">
      <c r="B161" s="228"/>
      <c r="C161" s="228"/>
      <c r="D161" s="228"/>
      <c r="E161" s="228"/>
      <c r="F161" s="228"/>
      <c r="G161" s="228"/>
      <c r="H161" s="228"/>
      <c r="I161" s="228"/>
      <c r="J161" s="228"/>
      <c r="K161" s="228"/>
      <c r="L161" s="228"/>
      <c r="M161" s="228"/>
      <c r="N161" s="228"/>
      <c r="O161" s="228"/>
      <c r="P161" s="228"/>
      <c r="Q161" s="228"/>
      <c r="R161" s="228"/>
      <c r="S161" s="228"/>
      <c r="T161" s="228"/>
      <c r="U161" s="228"/>
      <c r="V161" s="228"/>
      <c r="W161" s="228"/>
      <c r="X161" s="228"/>
      <c r="Y161" s="228"/>
      <c r="Z161" s="228"/>
      <c r="AA161" s="228"/>
      <c r="AB161" s="228"/>
      <c r="AC161" s="228"/>
    </row>
    <row r="169" spans="1:63" x14ac:dyDescent="0.2">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row>
    <row r="170" spans="1:63" s="216" customFormat="1" x14ac:dyDescent="0.2">
      <c r="A170" s="214"/>
    </row>
    <row r="171" spans="1:63" s="216" customFormat="1" x14ac:dyDescent="0.2"/>
    <row r="172" spans="1:63" s="216" customFormat="1" x14ac:dyDescent="0.2">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row>
    <row r="176" spans="1:63" x14ac:dyDescent="0.2">
      <c r="AD176" s="245"/>
      <c r="AE176" s="245"/>
      <c r="AF176" s="245"/>
      <c r="AG176" s="245"/>
      <c r="AH176" s="245"/>
      <c r="AI176" s="245"/>
      <c r="AJ176" s="245"/>
      <c r="AK176" s="245"/>
      <c r="AL176" s="245"/>
      <c r="AM176" s="245"/>
      <c r="AN176" s="245"/>
      <c r="AO176" s="245"/>
      <c r="AP176" s="245"/>
      <c r="AQ176" s="245"/>
      <c r="AR176" s="245"/>
      <c r="AS176" s="245"/>
      <c r="AT176" s="245"/>
      <c r="AU176" s="245"/>
      <c r="AV176" s="245"/>
      <c r="AW176" s="245"/>
      <c r="AX176" s="245"/>
      <c r="AY176" s="245"/>
      <c r="AZ176" s="245"/>
      <c r="BA176" s="245"/>
      <c r="BB176" s="245"/>
      <c r="BC176" s="245"/>
      <c r="BD176" s="245"/>
      <c r="BE176" s="245"/>
      <c r="BF176" s="245"/>
      <c r="BG176" s="245"/>
      <c r="BH176" s="245"/>
      <c r="BI176" s="245"/>
    </row>
    <row r="177" spans="2:61" x14ac:dyDescent="0.2">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c r="AA177" s="245"/>
      <c r="AB177" s="245"/>
      <c r="AC177" s="245"/>
    </row>
    <row r="181" spans="2:61" x14ac:dyDescent="0.2">
      <c r="AD181" s="245"/>
      <c r="AE181" s="245"/>
      <c r="AF181" s="245"/>
      <c r="AG181" s="245"/>
      <c r="AH181" s="245"/>
      <c r="AI181" s="245"/>
      <c r="AJ181" s="245"/>
      <c r="AK181" s="245"/>
      <c r="AL181" s="245"/>
      <c r="AM181" s="245"/>
      <c r="AN181" s="245"/>
      <c r="AO181" s="245"/>
      <c r="AP181" s="245"/>
      <c r="AQ181" s="245"/>
      <c r="AR181" s="245"/>
      <c r="AS181" s="245"/>
      <c r="AT181" s="245"/>
      <c r="AU181" s="245"/>
      <c r="AV181" s="245"/>
      <c r="AW181" s="245"/>
      <c r="AX181" s="245"/>
      <c r="AY181" s="245"/>
      <c r="AZ181" s="245"/>
      <c r="BA181" s="245"/>
      <c r="BB181" s="245"/>
      <c r="BC181" s="245"/>
      <c r="BD181" s="245"/>
      <c r="BE181" s="245"/>
      <c r="BF181" s="245"/>
      <c r="BG181" s="245"/>
      <c r="BH181" s="245"/>
      <c r="BI181" s="245"/>
    </row>
    <row r="182" spans="2:61" x14ac:dyDescent="0.2">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row>
    <row r="186" spans="2:61" x14ac:dyDescent="0.2">
      <c r="AD186" s="245"/>
      <c r="AE186" s="245"/>
      <c r="AF186" s="245"/>
      <c r="AG186" s="245"/>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row>
    <row r="187" spans="2:61" x14ac:dyDescent="0.2">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c r="BB187" s="245"/>
      <c r="BC187" s="245"/>
      <c r="BD187" s="245"/>
      <c r="BE187" s="245"/>
      <c r="BF187" s="245"/>
      <c r="BG187" s="245"/>
      <c r="BH187" s="245"/>
      <c r="BI187" s="245"/>
    </row>
    <row r="188" spans="2:61" x14ac:dyDescent="0.2">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c r="AC188" s="245"/>
    </row>
    <row r="191" spans="2:61" x14ac:dyDescent="0.2">
      <c r="AD191" s="245"/>
      <c r="AE191" s="245"/>
      <c r="AF191" s="245"/>
      <c r="AG191" s="245"/>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5"/>
      <c r="BC191" s="245"/>
      <c r="BD191" s="245"/>
      <c r="BE191" s="245"/>
      <c r="BF191" s="245"/>
      <c r="BG191" s="245"/>
      <c r="BH191" s="245"/>
      <c r="BI191" s="245"/>
    </row>
    <row r="192" spans="2:61" x14ac:dyDescent="0.2">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c r="AA192" s="245"/>
      <c r="AB192" s="245"/>
      <c r="AC192" s="245"/>
    </row>
    <row r="197" spans="2:61" x14ac:dyDescent="0.2">
      <c r="AD197" s="228"/>
      <c r="AE197" s="216"/>
      <c r="AF197" s="228"/>
      <c r="AG197" s="216"/>
      <c r="AH197" s="228"/>
      <c r="AI197" s="216"/>
      <c r="AJ197" s="228"/>
      <c r="AK197" s="216"/>
      <c r="AL197" s="228"/>
      <c r="AM197" s="216"/>
      <c r="AN197" s="228"/>
      <c r="AO197" s="216"/>
      <c r="AP197" s="228"/>
      <c r="AQ197" s="216"/>
      <c r="AR197" s="228"/>
      <c r="AS197" s="216"/>
      <c r="AT197" s="228"/>
      <c r="AU197" s="216"/>
      <c r="AV197" s="228"/>
      <c r="AW197" s="216"/>
      <c r="AX197" s="228"/>
      <c r="AY197" s="216"/>
      <c r="AZ197" s="228"/>
      <c r="BA197" s="216"/>
      <c r="BB197" s="228"/>
      <c r="BC197" s="216"/>
      <c r="BD197" s="228"/>
      <c r="BE197" s="216"/>
      <c r="BF197" s="228"/>
      <c r="BG197" s="216"/>
      <c r="BH197" s="228"/>
      <c r="BI197" s="216"/>
    </row>
    <row r="198" spans="2:61" x14ac:dyDescent="0.2">
      <c r="B198" s="228"/>
      <c r="C198" s="216"/>
      <c r="D198" s="228"/>
      <c r="E198" s="216"/>
      <c r="F198" s="228"/>
      <c r="G198" s="216"/>
      <c r="H198" s="228"/>
      <c r="I198" s="216"/>
      <c r="J198" s="228"/>
      <c r="K198" s="216"/>
      <c r="L198" s="228"/>
      <c r="M198" s="216"/>
      <c r="N198" s="228"/>
      <c r="O198" s="216"/>
      <c r="P198" s="228"/>
      <c r="Q198" s="216"/>
      <c r="R198" s="228"/>
      <c r="S198" s="216"/>
      <c r="T198" s="228"/>
      <c r="U198" s="216"/>
      <c r="V198" s="228"/>
      <c r="W198" s="216"/>
      <c r="X198" s="228"/>
      <c r="Y198" s="216"/>
      <c r="Z198" s="228"/>
      <c r="AA198" s="216"/>
      <c r="AB198" s="228"/>
      <c r="AC198" s="216"/>
      <c r="AD198" s="228"/>
      <c r="AE198" s="216"/>
      <c r="AF198" s="228"/>
      <c r="AG198" s="216"/>
      <c r="AH198" s="228"/>
      <c r="AI198" s="216"/>
      <c r="AJ198" s="228"/>
      <c r="AK198" s="216"/>
      <c r="AL198" s="228"/>
      <c r="AM198" s="216"/>
      <c r="AN198" s="228"/>
      <c r="AO198" s="216"/>
      <c r="AP198" s="228"/>
      <c r="AQ198" s="216"/>
      <c r="AR198" s="228"/>
      <c r="AS198" s="216"/>
      <c r="AT198" s="228"/>
      <c r="AU198" s="216"/>
      <c r="AV198" s="228"/>
      <c r="AW198" s="216"/>
      <c r="AX198" s="228"/>
      <c r="AY198" s="216"/>
      <c r="AZ198" s="228"/>
      <c r="BA198" s="216"/>
      <c r="BB198" s="228"/>
      <c r="BC198" s="216"/>
      <c r="BD198" s="228"/>
      <c r="BE198" s="216"/>
      <c r="BF198" s="228"/>
      <c r="BG198" s="216"/>
      <c r="BH198" s="228"/>
      <c r="BI198" s="216"/>
    </row>
    <row r="199" spans="2:61" x14ac:dyDescent="0.2">
      <c r="B199" s="228"/>
      <c r="C199" s="216"/>
      <c r="D199" s="228"/>
      <c r="E199" s="216"/>
      <c r="F199" s="228"/>
      <c r="G199" s="216"/>
      <c r="H199" s="228"/>
      <c r="I199" s="216"/>
      <c r="J199" s="228"/>
      <c r="K199" s="216"/>
      <c r="L199" s="228"/>
      <c r="M199" s="216"/>
      <c r="N199" s="228"/>
      <c r="O199" s="216"/>
      <c r="P199" s="228"/>
      <c r="Q199" s="216"/>
      <c r="R199" s="228"/>
      <c r="S199" s="216"/>
      <c r="T199" s="228"/>
      <c r="U199" s="216"/>
      <c r="V199" s="228"/>
      <c r="W199" s="216"/>
      <c r="X199" s="228"/>
      <c r="Y199" s="216"/>
      <c r="Z199" s="228"/>
      <c r="AA199" s="216"/>
      <c r="AB199" s="228"/>
      <c r="AC199" s="216"/>
      <c r="AD199" s="246"/>
      <c r="AE199" s="245"/>
      <c r="AF199" s="246"/>
      <c r="AG199" s="245"/>
      <c r="AH199" s="246"/>
      <c r="AI199" s="245"/>
      <c r="AJ199" s="246"/>
      <c r="AK199" s="245"/>
      <c r="AL199" s="246"/>
      <c r="AM199" s="245"/>
      <c r="AN199" s="246"/>
      <c r="AO199" s="245"/>
      <c r="AP199" s="246"/>
      <c r="AQ199" s="245"/>
      <c r="AR199" s="246"/>
      <c r="AS199" s="245"/>
      <c r="AT199" s="246"/>
      <c r="AU199" s="245"/>
      <c r="AV199" s="246"/>
      <c r="AW199" s="245"/>
      <c r="AX199" s="246"/>
      <c r="AY199" s="245"/>
      <c r="AZ199" s="246"/>
      <c r="BA199" s="245"/>
      <c r="BB199" s="246"/>
      <c r="BC199" s="245"/>
      <c r="BD199" s="246"/>
      <c r="BE199" s="245"/>
      <c r="BF199" s="246"/>
      <c r="BG199" s="245"/>
      <c r="BH199" s="246"/>
      <c r="BI199" s="245"/>
    </row>
    <row r="200" spans="2:61" x14ac:dyDescent="0.2">
      <c r="B200" s="246"/>
      <c r="C200" s="245"/>
      <c r="D200" s="246"/>
      <c r="E200" s="245"/>
      <c r="F200" s="246"/>
      <c r="G200" s="245"/>
      <c r="H200" s="246"/>
      <c r="I200" s="245"/>
      <c r="J200" s="246"/>
      <c r="K200" s="245"/>
      <c r="L200" s="246"/>
      <c r="M200" s="245"/>
      <c r="N200" s="246"/>
      <c r="O200" s="245"/>
      <c r="P200" s="246"/>
      <c r="Q200" s="245"/>
      <c r="R200" s="246"/>
      <c r="S200" s="245"/>
      <c r="T200" s="246"/>
      <c r="U200" s="245"/>
      <c r="V200" s="246"/>
      <c r="W200" s="245"/>
      <c r="X200" s="246"/>
      <c r="Y200" s="245"/>
      <c r="Z200" s="246"/>
      <c r="AA200" s="245"/>
      <c r="AB200" s="246"/>
      <c r="AC200" s="245"/>
      <c r="AD200" s="246"/>
      <c r="AE200" s="245"/>
      <c r="AF200" s="246"/>
      <c r="AG200" s="245"/>
      <c r="AH200" s="246"/>
      <c r="AI200" s="245"/>
      <c r="AJ200" s="246"/>
      <c r="AK200" s="245"/>
      <c r="AL200" s="246"/>
      <c r="AM200" s="245"/>
      <c r="AN200" s="246"/>
      <c r="AO200" s="245"/>
      <c r="AP200" s="246"/>
      <c r="AQ200" s="245"/>
      <c r="AR200" s="246"/>
      <c r="AS200" s="245"/>
      <c r="AT200" s="246"/>
      <c r="AU200" s="245"/>
      <c r="AV200" s="246"/>
      <c r="AW200" s="245"/>
      <c r="AX200" s="246"/>
      <c r="AY200" s="245"/>
      <c r="AZ200" s="246"/>
      <c r="BA200" s="245"/>
      <c r="BB200" s="246"/>
      <c r="BC200" s="245"/>
      <c r="BD200" s="246"/>
      <c r="BE200" s="245"/>
      <c r="BF200" s="246"/>
      <c r="BG200" s="245"/>
      <c r="BH200" s="246"/>
      <c r="BI200" s="245"/>
    </row>
    <row r="201" spans="2:61" x14ac:dyDescent="0.2">
      <c r="B201" s="246"/>
      <c r="C201" s="245"/>
      <c r="D201" s="246"/>
      <c r="E201" s="245"/>
      <c r="F201" s="246"/>
      <c r="G201" s="245"/>
      <c r="H201" s="246"/>
      <c r="I201" s="245"/>
      <c r="J201" s="246"/>
      <c r="K201" s="245"/>
      <c r="L201" s="246"/>
      <c r="M201" s="245"/>
      <c r="N201" s="246"/>
      <c r="O201" s="245"/>
      <c r="P201" s="246"/>
      <c r="Q201" s="245"/>
      <c r="R201" s="246"/>
      <c r="S201" s="245"/>
      <c r="T201" s="246"/>
      <c r="U201" s="245"/>
      <c r="V201" s="246"/>
      <c r="W201" s="245"/>
      <c r="X201" s="246"/>
      <c r="Y201" s="245"/>
      <c r="Z201" s="246"/>
      <c r="AA201" s="245"/>
      <c r="AB201" s="246"/>
      <c r="AC201" s="245"/>
      <c r="AD201" s="246"/>
      <c r="AE201" s="245"/>
      <c r="AF201" s="246"/>
      <c r="AG201" s="245"/>
      <c r="AH201" s="246"/>
      <c r="AI201" s="245"/>
      <c r="AJ201" s="246"/>
      <c r="AK201" s="245"/>
      <c r="AL201" s="246"/>
      <c r="AM201" s="245"/>
      <c r="AN201" s="246"/>
      <c r="AO201" s="245"/>
      <c r="AP201" s="246"/>
      <c r="AQ201" s="245"/>
      <c r="AR201" s="246"/>
      <c r="AS201" s="245"/>
      <c r="AT201" s="246"/>
      <c r="AU201" s="245"/>
      <c r="AV201" s="246"/>
      <c r="AW201" s="245"/>
      <c r="AX201" s="246"/>
      <c r="AY201" s="245"/>
      <c r="AZ201" s="246"/>
      <c r="BA201" s="245"/>
      <c r="BB201" s="246"/>
      <c r="BC201" s="245"/>
      <c r="BD201" s="246"/>
      <c r="BE201" s="245"/>
      <c r="BF201" s="246"/>
      <c r="BG201" s="245"/>
      <c r="BH201" s="246"/>
      <c r="BI201" s="245"/>
    </row>
    <row r="202" spans="2:61" x14ac:dyDescent="0.2">
      <c r="B202" s="246"/>
      <c r="C202" s="245"/>
      <c r="D202" s="246"/>
      <c r="E202" s="245"/>
      <c r="F202" s="246"/>
      <c r="G202" s="245"/>
      <c r="H202" s="246"/>
      <c r="I202" s="245"/>
      <c r="J202" s="246"/>
      <c r="K202" s="245"/>
      <c r="L202" s="246"/>
      <c r="M202" s="245"/>
      <c r="N202" s="246"/>
      <c r="O202" s="245"/>
      <c r="P202" s="246"/>
      <c r="Q202" s="245"/>
      <c r="R202" s="246"/>
      <c r="S202" s="245"/>
      <c r="T202" s="246"/>
      <c r="U202" s="245"/>
      <c r="V202" s="246"/>
      <c r="W202" s="245"/>
      <c r="X202" s="246"/>
      <c r="Y202" s="245"/>
      <c r="Z202" s="246"/>
      <c r="AA202" s="245"/>
      <c r="AB202" s="246"/>
      <c r="AC202" s="245"/>
      <c r="AD202" s="246"/>
      <c r="AE202" s="245"/>
      <c r="AF202" s="246"/>
      <c r="AG202" s="245"/>
      <c r="AH202" s="246"/>
      <c r="AI202" s="245"/>
      <c r="AJ202" s="246"/>
      <c r="AK202" s="245"/>
      <c r="AL202" s="246"/>
      <c r="AM202" s="245"/>
      <c r="AN202" s="246"/>
      <c r="AO202" s="245"/>
      <c r="AP202" s="246"/>
      <c r="AQ202" s="245"/>
      <c r="AR202" s="246"/>
      <c r="AS202" s="245"/>
      <c r="AT202" s="246"/>
      <c r="AU202" s="245"/>
      <c r="AV202" s="246"/>
      <c r="AW202" s="245"/>
      <c r="AX202" s="246"/>
      <c r="AY202" s="245"/>
      <c r="AZ202" s="246"/>
      <c r="BA202" s="245"/>
      <c r="BB202" s="246"/>
      <c r="BC202" s="245"/>
      <c r="BD202" s="246"/>
      <c r="BE202" s="245"/>
      <c r="BF202" s="246"/>
      <c r="BG202" s="245"/>
      <c r="BH202" s="246"/>
      <c r="BI202" s="245"/>
    </row>
    <row r="203" spans="2:61" x14ac:dyDescent="0.2">
      <c r="B203" s="246"/>
      <c r="C203" s="245"/>
      <c r="D203" s="246"/>
      <c r="E203" s="245"/>
      <c r="F203" s="246"/>
      <c r="G203" s="245"/>
      <c r="H203" s="246"/>
      <c r="I203" s="245"/>
      <c r="J203" s="246"/>
      <c r="K203" s="245"/>
      <c r="L203" s="246"/>
      <c r="M203" s="245"/>
      <c r="N203" s="246"/>
      <c r="O203" s="245"/>
      <c r="P203" s="246"/>
      <c r="Q203" s="245"/>
      <c r="R203" s="246"/>
      <c r="S203" s="245"/>
      <c r="T203" s="246"/>
      <c r="U203" s="245"/>
      <c r="V203" s="246"/>
      <c r="W203" s="245"/>
      <c r="X203" s="246"/>
      <c r="Y203" s="245"/>
      <c r="Z203" s="246"/>
      <c r="AA203" s="245"/>
      <c r="AB203" s="246"/>
      <c r="AC203" s="245"/>
      <c r="AD203" s="245"/>
      <c r="AE203" s="245"/>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row>
    <row r="204" spans="2:61" x14ac:dyDescent="0.2">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row>
    <row r="205" spans="2:61" x14ac:dyDescent="0.2">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45"/>
      <c r="AW205" s="245"/>
      <c r="AX205" s="245"/>
      <c r="AY205" s="245"/>
      <c r="AZ205" s="245"/>
      <c r="BA205" s="245"/>
      <c r="BB205" s="245"/>
      <c r="BC205" s="245"/>
      <c r="BD205" s="245"/>
      <c r="BE205" s="245"/>
      <c r="BF205" s="245"/>
      <c r="BG205" s="245"/>
      <c r="BH205" s="245"/>
      <c r="BI205" s="245"/>
    </row>
    <row r="206" spans="2:61" x14ac:dyDescent="0.2">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45"/>
      <c r="AW206" s="245"/>
      <c r="AX206" s="245"/>
      <c r="AY206" s="245"/>
      <c r="AZ206" s="245"/>
      <c r="BA206" s="245"/>
      <c r="BB206" s="245"/>
      <c r="BC206" s="245"/>
      <c r="BD206" s="245"/>
      <c r="BE206" s="245"/>
      <c r="BF206" s="245"/>
      <c r="BG206" s="245"/>
      <c r="BH206" s="245"/>
      <c r="BI206" s="245"/>
    </row>
    <row r="207" spans="2:61" x14ac:dyDescent="0.2">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row>
    <row r="208" spans="2:61" x14ac:dyDescent="0.2">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c r="AV208" s="245"/>
      <c r="AW208" s="245"/>
      <c r="AX208" s="245"/>
      <c r="AY208" s="245"/>
      <c r="AZ208" s="245"/>
      <c r="BA208" s="245"/>
      <c r="BB208" s="245"/>
      <c r="BC208" s="245"/>
      <c r="BD208" s="245"/>
      <c r="BE208" s="245"/>
      <c r="BF208" s="245"/>
      <c r="BG208" s="245"/>
      <c r="BH208" s="245"/>
      <c r="BI208" s="245"/>
    </row>
    <row r="209" spans="2:61" x14ac:dyDescent="0.2">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45"/>
      <c r="AW209" s="245"/>
      <c r="AX209" s="245"/>
      <c r="AY209" s="245"/>
      <c r="AZ209" s="245"/>
      <c r="BA209" s="245"/>
      <c r="BB209" s="245"/>
      <c r="BC209" s="245"/>
      <c r="BD209" s="245"/>
      <c r="BE209" s="245"/>
      <c r="BF209" s="245"/>
      <c r="BG209" s="245"/>
      <c r="BH209" s="245"/>
      <c r="BI209" s="245"/>
    </row>
    <row r="210" spans="2:61" x14ac:dyDescent="0.2">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row>
    <row r="211" spans="2:61" x14ac:dyDescent="0.2">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45"/>
      <c r="AW211" s="245"/>
      <c r="AX211" s="245"/>
      <c r="AY211" s="245"/>
      <c r="AZ211" s="245"/>
      <c r="BA211" s="245"/>
      <c r="BB211" s="245"/>
      <c r="BC211" s="245"/>
      <c r="BD211" s="245"/>
      <c r="BE211" s="245"/>
      <c r="BF211" s="245"/>
      <c r="BG211" s="245"/>
      <c r="BH211" s="245"/>
      <c r="BI211" s="245"/>
    </row>
    <row r="212" spans="2:61" x14ac:dyDescent="0.2">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45"/>
      <c r="AW212" s="245"/>
      <c r="AX212" s="245"/>
      <c r="AY212" s="245"/>
      <c r="AZ212" s="245"/>
      <c r="BA212" s="245"/>
      <c r="BB212" s="245"/>
      <c r="BC212" s="245"/>
      <c r="BD212" s="245"/>
      <c r="BE212" s="245"/>
      <c r="BF212" s="245"/>
      <c r="BG212" s="245"/>
      <c r="BH212" s="245"/>
      <c r="BI212" s="245"/>
    </row>
    <row r="213" spans="2:61" x14ac:dyDescent="0.2">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45"/>
      <c r="AW213" s="245"/>
      <c r="AX213" s="245"/>
      <c r="AY213" s="245"/>
      <c r="AZ213" s="245"/>
      <c r="BA213" s="245"/>
      <c r="BB213" s="245"/>
      <c r="BC213" s="245"/>
      <c r="BD213" s="245"/>
      <c r="BE213" s="245"/>
      <c r="BF213" s="245"/>
      <c r="BG213" s="245"/>
      <c r="BH213" s="245"/>
      <c r="BI213" s="245"/>
    </row>
    <row r="214" spans="2:61" x14ac:dyDescent="0.2">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row>
    <row r="215" spans="2:61" x14ac:dyDescent="0.2">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row>
    <row r="216" spans="2:61" x14ac:dyDescent="0.2">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row>
    <row r="217" spans="2:61" x14ac:dyDescent="0.2">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c r="AV217" s="245"/>
      <c r="AW217" s="245"/>
      <c r="AX217" s="245"/>
      <c r="AY217" s="245"/>
      <c r="AZ217" s="245"/>
      <c r="BA217" s="245"/>
      <c r="BB217" s="245"/>
      <c r="BC217" s="245"/>
      <c r="BD217" s="245"/>
      <c r="BE217" s="245"/>
      <c r="BF217" s="245"/>
      <c r="BG217" s="245"/>
      <c r="BH217" s="245"/>
      <c r="BI217" s="245"/>
    </row>
    <row r="218" spans="2:61" x14ac:dyDescent="0.2">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c r="AV218" s="245"/>
      <c r="AW218" s="245"/>
      <c r="AX218" s="245"/>
      <c r="AY218" s="245"/>
      <c r="AZ218" s="245"/>
      <c r="BA218" s="245"/>
      <c r="BB218" s="245"/>
      <c r="BC218" s="245"/>
      <c r="BD218" s="245"/>
      <c r="BE218" s="245"/>
      <c r="BF218" s="245"/>
      <c r="BG218" s="245"/>
      <c r="BH218" s="245"/>
      <c r="BI218" s="245"/>
    </row>
    <row r="219" spans="2:61" x14ac:dyDescent="0.2">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5"/>
      <c r="BC219" s="245"/>
      <c r="BD219" s="245"/>
      <c r="BE219" s="245"/>
      <c r="BF219" s="245"/>
      <c r="BG219" s="245"/>
      <c r="BH219" s="245"/>
      <c r="BI219" s="245"/>
    </row>
    <row r="220" spans="2:61" x14ac:dyDescent="0.2">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c r="AV220" s="245"/>
      <c r="AW220" s="245"/>
      <c r="AX220" s="245"/>
      <c r="AY220" s="245"/>
      <c r="AZ220" s="245"/>
      <c r="BA220" s="245"/>
      <c r="BB220" s="245"/>
      <c r="BC220" s="245"/>
      <c r="BD220" s="245"/>
      <c r="BE220" s="245"/>
      <c r="BF220" s="245"/>
      <c r="BG220" s="245"/>
      <c r="BH220" s="245"/>
      <c r="BI220" s="245"/>
    </row>
    <row r="221" spans="2:61" x14ac:dyDescent="0.2">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c r="AV221" s="245"/>
      <c r="AW221" s="245"/>
      <c r="AX221" s="245"/>
      <c r="AY221" s="245"/>
      <c r="AZ221" s="245"/>
      <c r="BA221" s="245"/>
      <c r="BB221" s="245"/>
      <c r="BC221" s="245"/>
      <c r="BD221" s="245"/>
      <c r="BE221" s="245"/>
      <c r="BF221" s="245"/>
      <c r="BG221" s="245"/>
      <c r="BH221" s="245"/>
      <c r="BI221" s="245"/>
    </row>
    <row r="222" spans="2:61" x14ac:dyDescent="0.2">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c r="AV222" s="245"/>
      <c r="AW222" s="245"/>
      <c r="AX222" s="245"/>
      <c r="AY222" s="245"/>
      <c r="AZ222" s="245"/>
      <c r="BA222" s="245"/>
      <c r="BB222" s="245"/>
      <c r="BC222" s="245"/>
      <c r="BD222" s="245"/>
      <c r="BE222" s="245"/>
      <c r="BF222" s="245"/>
      <c r="BG222" s="245"/>
      <c r="BH222" s="245"/>
      <c r="BI222" s="245"/>
    </row>
    <row r="223" spans="2:61" x14ac:dyDescent="0.2">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45"/>
      <c r="AW223" s="245"/>
      <c r="AX223" s="245"/>
      <c r="AY223" s="245"/>
      <c r="AZ223" s="245"/>
      <c r="BA223" s="245"/>
      <c r="BB223" s="245"/>
      <c r="BC223" s="245"/>
      <c r="BD223" s="245"/>
      <c r="BE223" s="245"/>
      <c r="BF223" s="245"/>
      <c r="BG223" s="245"/>
      <c r="BH223" s="245"/>
      <c r="BI223" s="245"/>
    </row>
    <row r="224" spans="2:61" x14ac:dyDescent="0.2">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row>
    <row r="225" spans="2:61" x14ac:dyDescent="0.2">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c r="AS225" s="245"/>
      <c r="AT225" s="245"/>
      <c r="AU225" s="245"/>
      <c r="AV225" s="245"/>
      <c r="AW225" s="245"/>
      <c r="AX225" s="245"/>
      <c r="AY225" s="245"/>
      <c r="AZ225" s="245"/>
      <c r="BA225" s="245"/>
      <c r="BB225" s="245"/>
      <c r="BC225" s="245"/>
      <c r="BD225" s="245"/>
      <c r="BE225" s="245"/>
      <c r="BF225" s="245"/>
      <c r="BG225" s="245"/>
      <c r="BH225" s="245"/>
      <c r="BI225" s="245"/>
    </row>
    <row r="226" spans="2:61" x14ac:dyDescent="0.2">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c r="AA226" s="245"/>
      <c r="AB226" s="245"/>
      <c r="AC226" s="245"/>
      <c r="AD226" s="245"/>
      <c r="AE226" s="245"/>
      <c r="AF226" s="245"/>
      <c r="AG226" s="245"/>
      <c r="AH226" s="245"/>
      <c r="AI226" s="245"/>
      <c r="AJ226" s="245"/>
      <c r="AK226" s="245"/>
      <c r="AL226" s="245"/>
      <c r="AM226" s="245"/>
      <c r="AN226" s="245"/>
      <c r="AO226" s="245"/>
      <c r="AP226" s="245"/>
      <c r="AQ226" s="245"/>
      <c r="AR226" s="245"/>
      <c r="AS226" s="245"/>
      <c r="AT226" s="245"/>
      <c r="AU226" s="245"/>
      <c r="AV226" s="245"/>
      <c r="AW226" s="245"/>
      <c r="AX226" s="245"/>
      <c r="AY226" s="245"/>
      <c r="AZ226" s="245"/>
      <c r="BA226" s="245"/>
      <c r="BB226" s="245"/>
      <c r="BC226" s="245"/>
      <c r="BD226" s="245"/>
      <c r="BE226" s="245"/>
      <c r="BF226" s="245"/>
      <c r="BG226" s="245"/>
      <c r="BH226" s="245"/>
      <c r="BI226" s="245"/>
    </row>
    <row r="227" spans="2:61" x14ac:dyDescent="0.2">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c r="Y227" s="245"/>
      <c r="Z227" s="245"/>
      <c r="AA227" s="245"/>
      <c r="AB227" s="245"/>
      <c r="AC227" s="245"/>
    </row>
  </sheetData>
  <sheetProtection selectLockedCells="1" selectUnlockedCells="1"/>
  <mergeCells count="108">
    <mergeCell ref="BF2:BG2"/>
    <mergeCell ref="BF3:BG3"/>
    <mergeCell ref="BF4:BG4"/>
    <mergeCell ref="BF6:BG6"/>
    <mergeCell ref="BB2:BC2"/>
    <mergeCell ref="BB3:BC3"/>
    <mergeCell ref="BB4:BC4"/>
    <mergeCell ref="BB6:BC6"/>
    <mergeCell ref="BD2:BE2"/>
    <mergeCell ref="BD3:BE3"/>
    <mergeCell ref="BD4:BE4"/>
    <mergeCell ref="BD6:BE6"/>
    <mergeCell ref="AZ2:BA2"/>
    <mergeCell ref="AZ3:BA3"/>
    <mergeCell ref="AZ4:BA4"/>
    <mergeCell ref="AZ6:BA6"/>
    <mergeCell ref="AX2:AY2"/>
    <mergeCell ref="AX3:AY3"/>
    <mergeCell ref="AX4:AY4"/>
    <mergeCell ref="AX6:AY6"/>
    <mergeCell ref="AV2:AW2"/>
    <mergeCell ref="AV3:AW3"/>
    <mergeCell ref="AV4:AW4"/>
    <mergeCell ref="AV6:AW6"/>
    <mergeCell ref="AT2:AU2"/>
    <mergeCell ref="AT3:AU3"/>
    <mergeCell ref="AT4:AU4"/>
    <mergeCell ref="AT6:AU6"/>
    <mergeCell ref="AR2:AS2"/>
    <mergeCell ref="AR3:AS3"/>
    <mergeCell ref="AR4:AS4"/>
    <mergeCell ref="AR6:AS6"/>
    <mergeCell ref="AP2:AQ2"/>
    <mergeCell ref="AP3:AQ3"/>
    <mergeCell ref="AP4:AQ4"/>
    <mergeCell ref="AP6:AQ6"/>
    <mergeCell ref="AN4:AO4"/>
    <mergeCell ref="AD2:AE2"/>
    <mergeCell ref="AD3:AE3"/>
    <mergeCell ref="AF2:AG2"/>
    <mergeCell ref="AD6:AE6"/>
    <mergeCell ref="AH4:AI4"/>
    <mergeCell ref="AJ4:AK4"/>
    <mergeCell ref="AD4:AE4"/>
    <mergeCell ref="AF4:AG4"/>
    <mergeCell ref="AN3:AO3"/>
    <mergeCell ref="AN2:AO2"/>
    <mergeCell ref="AJ6:AK6"/>
    <mergeCell ref="AL6:AM6"/>
    <mergeCell ref="AF6:AG6"/>
    <mergeCell ref="AN6:AO6"/>
    <mergeCell ref="AH6:AI6"/>
    <mergeCell ref="AL4:AM4"/>
    <mergeCell ref="AH2:AI2"/>
    <mergeCell ref="AH3:AI3"/>
    <mergeCell ref="Z6:AA6"/>
    <mergeCell ref="AB6:AC6"/>
    <mergeCell ref="AB4:AC4"/>
    <mergeCell ref="L4:M4"/>
    <mergeCell ref="N4:O4"/>
    <mergeCell ref="P4:Q4"/>
    <mergeCell ref="V4:W4"/>
    <mergeCell ref="X4:Y4"/>
    <mergeCell ref="Z4:AA4"/>
    <mergeCell ref="P6:Q6"/>
    <mergeCell ref="R6:S6"/>
    <mergeCell ref="L6:M6"/>
    <mergeCell ref="R4:S4"/>
    <mergeCell ref="T4:U4"/>
    <mergeCell ref="BJ3:BK4"/>
    <mergeCell ref="BH2:BI2"/>
    <mergeCell ref="BH3:BI3"/>
    <mergeCell ref="BH4:BI4"/>
    <mergeCell ref="BH6:BI6"/>
    <mergeCell ref="BJ6:BK6"/>
    <mergeCell ref="B3:C3"/>
    <mergeCell ref="D3:E3"/>
    <mergeCell ref="F3:G3"/>
    <mergeCell ref="H3:I3"/>
    <mergeCell ref="J3:K3"/>
    <mergeCell ref="Z3:AA3"/>
    <mergeCell ref="AB3:AC3"/>
    <mergeCell ref="N3:O3"/>
    <mergeCell ref="P3:Q3"/>
    <mergeCell ref="R3:S3"/>
    <mergeCell ref="AF3:AG3"/>
    <mergeCell ref="AJ3:AK3"/>
    <mergeCell ref="AJ2:AK2"/>
    <mergeCell ref="AL2:AM2"/>
    <mergeCell ref="AL3:AM3"/>
    <mergeCell ref="V6:W6"/>
    <mergeCell ref="T3:U3"/>
    <mergeCell ref="V3:W3"/>
    <mergeCell ref="X3:Y3"/>
    <mergeCell ref="B6:C6"/>
    <mergeCell ref="D6:E6"/>
    <mergeCell ref="H6:I6"/>
    <mergeCell ref="J6:K6"/>
    <mergeCell ref="B4:C4"/>
    <mergeCell ref="D4:E4"/>
    <mergeCell ref="F4:G4"/>
    <mergeCell ref="H4:I4"/>
    <mergeCell ref="J4:K4"/>
    <mergeCell ref="F6:G6"/>
    <mergeCell ref="N6:O6"/>
    <mergeCell ref="L3:M3"/>
    <mergeCell ref="T6:U6"/>
    <mergeCell ref="X6:Y6"/>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B36B2-7C8C-4AB2-9165-D9F9ACC7DCF3}">
  <sheetPr codeName="Hoja18">
    <tabColor theme="3" tint="-0.249977111117893"/>
  </sheetPr>
  <dimension ref="A1:BW226"/>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C6"/>
    </sheetView>
  </sheetViews>
  <sheetFormatPr baseColWidth="10" defaultColWidth="15" defaultRowHeight="12" x14ac:dyDescent="0.2"/>
  <cols>
    <col min="1" max="1" width="49.140625" style="214" bestFit="1" customWidth="1"/>
    <col min="2" max="2" width="27.42578125" style="214" customWidth="1"/>
    <col min="3" max="3" width="27.7109375" style="214" customWidth="1"/>
    <col min="4" max="4" width="27.42578125" style="214" customWidth="1"/>
    <col min="5" max="5" width="27.7109375" style="214" customWidth="1"/>
    <col min="6" max="6" width="27.42578125" style="214" customWidth="1"/>
    <col min="7" max="7" width="27.7109375" style="214" customWidth="1"/>
    <col min="8" max="8" width="23.7109375" style="214" customWidth="1"/>
    <col min="9" max="9" width="21.28515625" style="214" customWidth="1"/>
    <col min="10" max="10" width="27.42578125" style="214" customWidth="1"/>
    <col min="11" max="11" width="27.7109375" style="214" customWidth="1"/>
    <col min="12" max="12" width="27.42578125" style="214" customWidth="1"/>
    <col min="13" max="13" width="27.7109375" style="214" customWidth="1"/>
    <col min="14" max="14" width="27.42578125" style="214" customWidth="1"/>
    <col min="15" max="15" width="27.7109375" style="214" customWidth="1"/>
    <col min="16" max="16" width="18.85546875" style="214" bestFit="1" customWidth="1"/>
    <col min="17" max="17" width="19.140625" style="214" bestFit="1" customWidth="1"/>
    <col min="18" max="18" width="24.140625" style="214" customWidth="1"/>
    <col min="19" max="19" width="20.140625" style="214" customWidth="1"/>
    <col min="20" max="20" width="17.85546875" style="214" bestFit="1" customWidth="1"/>
    <col min="21" max="21" width="18.85546875" style="214" bestFit="1" customWidth="1"/>
    <col min="22" max="22" width="20.85546875" style="214" customWidth="1"/>
    <col min="23" max="25" width="16.7109375" style="214" customWidth="1"/>
    <col min="26" max="26" width="19" style="214" customWidth="1"/>
    <col min="27" max="29" width="16.7109375" style="214" customWidth="1"/>
    <col min="30" max="32" width="21.5703125" style="214" customWidth="1"/>
    <col min="33" max="33" width="19" style="214" customWidth="1"/>
    <col min="34" max="35" width="16.5703125" style="214" bestFit="1" customWidth="1"/>
    <col min="36" max="36" width="19.5703125" style="214" customWidth="1"/>
    <col min="37" max="49" width="22.28515625" style="214" customWidth="1"/>
    <col min="50" max="51" width="20.85546875" style="214" customWidth="1"/>
    <col min="52" max="52" width="22.28515625" style="214" customWidth="1"/>
    <col min="53" max="53" width="27.7109375" style="214" customWidth="1"/>
    <col min="54" max="73" width="22.28515625" style="214" customWidth="1"/>
    <col min="74" max="74" width="20.5703125" style="214" customWidth="1"/>
    <col min="75" max="75" width="20.28515625" style="214" customWidth="1"/>
    <col min="76" max="16384" width="15" style="214"/>
  </cols>
  <sheetData>
    <row r="1" spans="1:75" ht="18" x14ac:dyDescent="0.2">
      <c r="B1" s="305" t="s">
        <v>462</v>
      </c>
    </row>
    <row r="2" spans="1:75" x14ac:dyDescent="0.2">
      <c r="A2" s="248"/>
    </row>
    <row r="3" spans="1:75" x14ac:dyDescent="0.2">
      <c r="B3" s="353" t="s">
        <v>188</v>
      </c>
      <c r="C3" s="353"/>
      <c r="D3" s="353" t="s">
        <v>188</v>
      </c>
      <c r="E3" s="353"/>
      <c r="F3" s="353" t="s">
        <v>188</v>
      </c>
      <c r="G3" s="353"/>
      <c r="H3" s="353" t="s">
        <v>188</v>
      </c>
      <c r="I3" s="353"/>
      <c r="J3" s="353" t="s">
        <v>188</v>
      </c>
      <c r="K3" s="353"/>
      <c r="L3" s="353" t="s">
        <v>188</v>
      </c>
      <c r="M3" s="353"/>
      <c r="N3" s="353" t="s">
        <v>188</v>
      </c>
      <c r="O3" s="353"/>
      <c r="P3" s="353" t="s">
        <v>188</v>
      </c>
      <c r="Q3" s="353"/>
      <c r="R3" s="353" t="s">
        <v>188</v>
      </c>
      <c r="S3" s="353"/>
      <c r="T3" s="353" t="s">
        <v>188</v>
      </c>
      <c r="U3" s="353"/>
      <c r="V3" s="353" t="s">
        <v>188</v>
      </c>
      <c r="W3" s="353"/>
      <c r="X3" s="353" t="s">
        <v>188</v>
      </c>
      <c r="Y3" s="353"/>
      <c r="Z3" s="353" t="s">
        <v>188</v>
      </c>
      <c r="AA3" s="353"/>
      <c r="AB3" s="353" t="s">
        <v>188</v>
      </c>
      <c r="AC3" s="353"/>
      <c r="AD3" s="353" t="s">
        <v>188</v>
      </c>
      <c r="AE3" s="353"/>
      <c r="AF3" s="353" t="s">
        <v>188</v>
      </c>
      <c r="AG3" s="353"/>
      <c r="AH3" s="338" t="s">
        <v>188</v>
      </c>
      <c r="AI3" s="340"/>
      <c r="AJ3" s="338" t="s">
        <v>188</v>
      </c>
      <c r="AK3" s="340"/>
      <c r="AL3" s="338" t="s">
        <v>188</v>
      </c>
      <c r="AM3" s="340"/>
      <c r="AN3" s="338" t="s">
        <v>188</v>
      </c>
      <c r="AO3" s="340"/>
      <c r="AP3" s="338" t="s">
        <v>188</v>
      </c>
      <c r="AQ3" s="340"/>
      <c r="AR3" s="338" t="s">
        <v>188</v>
      </c>
      <c r="AS3" s="340"/>
      <c r="AT3" s="338" t="s">
        <v>188</v>
      </c>
      <c r="AU3" s="340"/>
      <c r="AV3" s="338" t="s">
        <v>188</v>
      </c>
      <c r="AW3" s="340"/>
      <c r="AX3" s="338" t="s">
        <v>188</v>
      </c>
      <c r="AY3" s="340"/>
      <c r="AZ3" s="338" t="s">
        <v>188</v>
      </c>
      <c r="BA3" s="340"/>
      <c r="BB3" s="338" t="s">
        <v>188</v>
      </c>
      <c r="BC3" s="340"/>
      <c r="BD3" s="338" t="s">
        <v>188</v>
      </c>
      <c r="BE3" s="340"/>
      <c r="BF3" s="353" t="s">
        <v>188</v>
      </c>
      <c r="BG3" s="353"/>
      <c r="BH3" s="338" t="s">
        <v>410</v>
      </c>
      <c r="BI3" s="339"/>
      <c r="BJ3" s="353" t="s">
        <v>410</v>
      </c>
      <c r="BK3" s="353"/>
      <c r="BL3" s="353" t="s">
        <v>410</v>
      </c>
      <c r="BM3" s="353"/>
      <c r="BN3" s="353" t="s">
        <v>410</v>
      </c>
      <c r="BO3" s="353"/>
      <c r="BP3" s="353" t="s">
        <v>410</v>
      </c>
      <c r="BQ3" s="353"/>
      <c r="BR3" s="353" t="s">
        <v>410</v>
      </c>
      <c r="BS3" s="353"/>
      <c r="BT3" s="353" t="s">
        <v>410</v>
      </c>
      <c r="BU3" s="353"/>
      <c r="BV3" s="355" t="s">
        <v>92</v>
      </c>
      <c r="BW3" s="357"/>
    </row>
    <row r="4" spans="1:75" s="215" customFormat="1" ht="46.5" customHeight="1" x14ac:dyDescent="0.2">
      <c r="A4" s="214"/>
      <c r="B4" s="354" t="s">
        <v>365</v>
      </c>
      <c r="C4" s="353"/>
      <c r="D4" s="354" t="s">
        <v>366</v>
      </c>
      <c r="E4" s="353"/>
      <c r="F4" s="354" t="s">
        <v>367</v>
      </c>
      <c r="G4" s="353"/>
      <c r="H4" s="354" t="s">
        <v>368</v>
      </c>
      <c r="I4" s="353"/>
      <c r="J4" s="354" t="s">
        <v>369</v>
      </c>
      <c r="K4" s="353"/>
      <c r="L4" s="354" t="s">
        <v>370</v>
      </c>
      <c r="M4" s="353"/>
      <c r="N4" s="354" t="s">
        <v>451</v>
      </c>
      <c r="O4" s="354"/>
      <c r="P4" s="354" t="s">
        <v>371</v>
      </c>
      <c r="Q4" s="354"/>
      <c r="R4" s="354" t="s">
        <v>208</v>
      </c>
      <c r="S4" s="354"/>
      <c r="T4" s="354" t="s">
        <v>209</v>
      </c>
      <c r="U4" s="354"/>
      <c r="V4" s="354" t="s">
        <v>372</v>
      </c>
      <c r="W4" s="353"/>
      <c r="X4" s="354" t="s">
        <v>373</v>
      </c>
      <c r="Y4" s="353"/>
      <c r="Z4" s="354" t="s">
        <v>248</v>
      </c>
      <c r="AA4" s="353"/>
      <c r="AB4" s="354" t="s">
        <v>249</v>
      </c>
      <c r="AC4" s="353"/>
      <c r="AD4" s="354" t="s">
        <v>374</v>
      </c>
      <c r="AE4" s="354"/>
      <c r="AF4" s="354" t="s">
        <v>375</v>
      </c>
      <c r="AG4" s="353"/>
      <c r="AH4" s="354" t="s">
        <v>265</v>
      </c>
      <c r="AI4" s="354"/>
      <c r="AJ4" s="354" t="s">
        <v>376</v>
      </c>
      <c r="AK4" s="353"/>
      <c r="AL4" s="344" t="s">
        <v>377</v>
      </c>
      <c r="AM4" s="346"/>
      <c r="AN4" s="344" t="s">
        <v>378</v>
      </c>
      <c r="AO4" s="346"/>
      <c r="AP4" s="344" t="s">
        <v>379</v>
      </c>
      <c r="AQ4" s="346"/>
      <c r="AR4" s="344" t="s">
        <v>380</v>
      </c>
      <c r="AS4" s="346"/>
      <c r="AT4" s="344" t="s">
        <v>381</v>
      </c>
      <c r="AU4" s="346"/>
      <c r="AV4" s="344" t="s">
        <v>382</v>
      </c>
      <c r="AW4" s="346"/>
      <c r="AX4" s="344" t="s">
        <v>383</v>
      </c>
      <c r="AY4" s="346"/>
      <c r="AZ4" s="354" t="s">
        <v>384</v>
      </c>
      <c r="BA4" s="353"/>
      <c r="BB4" s="344" t="s">
        <v>471</v>
      </c>
      <c r="BC4" s="346"/>
      <c r="BD4" s="344" t="s">
        <v>414</v>
      </c>
      <c r="BE4" s="346"/>
      <c r="BF4" s="354" t="s">
        <v>415</v>
      </c>
      <c r="BG4" s="353"/>
      <c r="BH4" s="344" t="s">
        <v>416</v>
      </c>
      <c r="BI4" s="345"/>
      <c r="BJ4" s="354" t="s">
        <v>428</v>
      </c>
      <c r="BK4" s="353"/>
      <c r="BL4" s="354" t="s">
        <v>435</v>
      </c>
      <c r="BM4" s="353"/>
      <c r="BN4" s="354" t="s">
        <v>454</v>
      </c>
      <c r="BO4" s="353"/>
      <c r="BP4" s="354" t="s">
        <v>455</v>
      </c>
      <c r="BQ4" s="353"/>
      <c r="BR4" s="354" t="s">
        <v>457</v>
      </c>
      <c r="BS4" s="353"/>
      <c r="BT4" s="354" t="s">
        <v>458</v>
      </c>
      <c r="BU4" s="353"/>
      <c r="BV4" s="351"/>
      <c r="BW4" s="358"/>
    </row>
    <row r="5" spans="1:75" s="250" customFormat="1" x14ac:dyDescent="0.2">
      <c r="A5" s="257"/>
      <c r="B5" s="304">
        <v>2022</v>
      </c>
      <c r="C5" s="304">
        <v>2023</v>
      </c>
      <c r="D5" s="304">
        <v>2022</v>
      </c>
      <c r="E5" s="304">
        <v>2023</v>
      </c>
      <c r="F5" s="304">
        <v>2022</v>
      </c>
      <c r="G5" s="304">
        <v>2023</v>
      </c>
      <c r="H5" s="304">
        <v>2022</v>
      </c>
      <c r="I5" s="304">
        <v>2023</v>
      </c>
      <c r="J5" s="304">
        <v>2022</v>
      </c>
      <c r="K5" s="304">
        <v>2023</v>
      </c>
      <c r="L5" s="304">
        <v>2022</v>
      </c>
      <c r="M5" s="304">
        <v>2023</v>
      </c>
      <c r="N5" s="304">
        <v>2022</v>
      </c>
      <c r="O5" s="304">
        <v>2023</v>
      </c>
      <c r="P5" s="304">
        <v>2022</v>
      </c>
      <c r="Q5" s="304">
        <v>2023</v>
      </c>
      <c r="R5" s="304">
        <v>2022</v>
      </c>
      <c r="S5" s="304">
        <v>2023</v>
      </c>
      <c r="T5" s="304">
        <v>2022</v>
      </c>
      <c r="U5" s="304">
        <v>2023</v>
      </c>
      <c r="V5" s="304">
        <v>2022</v>
      </c>
      <c r="W5" s="304">
        <v>2023</v>
      </c>
      <c r="X5" s="304">
        <v>2022</v>
      </c>
      <c r="Y5" s="304">
        <v>2023</v>
      </c>
      <c r="Z5" s="304">
        <v>2022</v>
      </c>
      <c r="AA5" s="304">
        <v>2023</v>
      </c>
      <c r="AB5" s="304">
        <v>2022</v>
      </c>
      <c r="AC5" s="304">
        <v>2023</v>
      </c>
      <c r="AD5" s="304">
        <v>2022</v>
      </c>
      <c r="AE5" s="304">
        <v>2023</v>
      </c>
      <c r="AF5" s="304">
        <v>2022</v>
      </c>
      <c r="AG5" s="304">
        <v>2023</v>
      </c>
      <c r="AH5" s="304">
        <v>2022</v>
      </c>
      <c r="AI5" s="304">
        <v>2023</v>
      </c>
      <c r="AJ5" s="304">
        <v>2022</v>
      </c>
      <c r="AK5" s="304">
        <v>2023</v>
      </c>
      <c r="AL5" s="304">
        <v>2022</v>
      </c>
      <c r="AM5" s="304">
        <v>2023</v>
      </c>
      <c r="AN5" s="304">
        <v>2022</v>
      </c>
      <c r="AO5" s="304">
        <v>2023</v>
      </c>
      <c r="AP5" s="304">
        <v>2022</v>
      </c>
      <c r="AQ5" s="304">
        <v>2023</v>
      </c>
      <c r="AR5" s="304">
        <v>2022</v>
      </c>
      <c r="AS5" s="304">
        <v>2023</v>
      </c>
      <c r="AT5" s="304">
        <v>2022</v>
      </c>
      <c r="AU5" s="304">
        <v>2023</v>
      </c>
      <c r="AV5" s="304">
        <v>2022</v>
      </c>
      <c r="AW5" s="304">
        <v>2023</v>
      </c>
      <c r="AX5" s="304">
        <v>2022</v>
      </c>
      <c r="AY5" s="304">
        <v>2023</v>
      </c>
      <c r="AZ5" s="304">
        <v>2022</v>
      </c>
      <c r="BA5" s="304">
        <v>2023</v>
      </c>
      <c r="BB5" s="304">
        <v>2022</v>
      </c>
      <c r="BC5" s="304">
        <v>2023</v>
      </c>
      <c r="BD5" s="304">
        <v>2022</v>
      </c>
      <c r="BE5" s="304">
        <v>2023</v>
      </c>
      <c r="BF5" s="304">
        <v>2022</v>
      </c>
      <c r="BG5" s="304">
        <v>2023</v>
      </c>
      <c r="BH5" s="304">
        <v>2022</v>
      </c>
      <c r="BI5" s="304">
        <v>2023</v>
      </c>
      <c r="BJ5" s="304">
        <v>2022</v>
      </c>
      <c r="BK5" s="304">
        <v>2023</v>
      </c>
      <c r="BL5" s="304">
        <v>2022</v>
      </c>
      <c r="BM5" s="304">
        <v>2023</v>
      </c>
      <c r="BN5" s="304">
        <v>2022</v>
      </c>
      <c r="BO5" s="304">
        <v>2023</v>
      </c>
      <c r="BP5" s="304">
        <v>2022</v>
      </c>
      <c r="BQ5" s="304">
        <v>2023</v>
      </c>
      <c r="BR5" s="304">
        <v>2022</v>
      </c>
      <c r="BS5" s="304">
        <v>2023</v>
      </c>
      <c r="BT5" s="304">
        <v>2022</v>
      </c>
      <c r="BU5" s="304">
        <v>2023</v>
      </c>
      <c r="BV5" s="304">
        <v>2022</v>
      </c>
      <c r="BW5" s="304">
        <v>2023</v>
      </c>
    </row>
    <row r="6" spans="1:75" x14ac:dyDescent="0.2">
      <c r="B6" s="370" t="s">
        <v>246</v>
      </c>
      <c r="C6" s="370"/>
      <c r="D6" s="353" t="s">
        <v>246</v>
      </c>
      <c r="E6" s="353"/>
      <c r="F6" s="353" t="s">
        <v>246</v>
      </c>
      <c r="G6" s="353"/>
      <c r="H6" s="353" t="s">
        <v>246</v>
      </c>
      <c r="I6" s="353"/>
      <c r="J6" s="353" t="s">
        <v>246</v>
      </c>
      <c r="K6" s="353"/>
      <c r="L6" s="353"/>
      <c r="M6" s="353"/>
      <c r="N6" s="353"/>
      <c r="O6" s="353"/>
      <c r="P6" s="353"/>
      <c r="Q6" s="353"/>
      <c r="R6" s="353"/>
      <c r="S6" s="353"/>
      <c r="T6" s="353" t="s">
        <v>246</v>
      </c>
      <c r="U6" s="353"/>
      <c r="V6" s="353" t="s">
        <v>246</v>
      </c>
      <c r="W6" s="353"/>
      <c r="X6" s="353" t="s">
        <v>246</v>
      </c>
      <c r="Y6" s="353"/>
      <c r="Z6" s="353" t="s">
        <v>246</v>
      </c>
      <c r="AA6" s="353"/>
      <c r="AB6" s="353" t="s">
        <v>246</v>
      </c>
      <c r="AC6" s="353"/>
      <c r="AD6" s="354"/>
      <c r="AE6" s="354"/>
      <c r="AF6" s="354" t="s">
        <v>102</v>
      </c>
      <c r="AG6" s="353"/>
      <c r="AH6" s="354" t="s">
        <v>102</v>
      </c>
      <c r="AI6" s="354"/>
      <c r="AJ6" s="354" t="s">
        <v>102</v>
      </c>
      <c r="AK6" s="353"/>
      <c r="AL6" s="354" t="s">
        <v>102</v>
      </c>
      <c r="AM6" s="353"/>
      <c r="AN6" s="354" t="s">
        <v>102</v>
      </c>
      <c r="AO6" s="353"/>
      <c r="AP6" s="354" t="s">
        <v>102</v>
      </c>
      <c r="AQ6" s="353"/>
      <c r="AR6" s="354" t="s">
        <v>102</v>
      </c>
      <c r="AS6" s="353"/>
      <c r="AT6" s="354" t="s">
        <v>102</v>
      </c>
      <c r="AU6" s="353"/>
      <c r="AV6" s="354" t="s">
        <v>102</v>
      </c>
      <c r="AW6" s="353"/>
      <c r="AX6" s="354" t="s">
        <v>102</v>
      </c>
      <c r="AY6" s="353"/>
      <c r="AZ6" s="354" t="s">
        <v>102</v>
      </c>
      <c r="BA6" s="353"/>
      <c r="BB6" s="354" t="s">
        <v>102</v>
      </c>
      <c r="BC6" s="353"/>
      <c r="BD6" s="354" t="s">
        <v>102</v>
      </c>
      <c r="BE6" s="353"/>
      <c r="BF6" s="354" t="s">
        <v>102</v>
      </c>
      <c r="BG6" s="353"/>
      <c r="BH6" s="354" t="s">
        <v>102</v>
      </c>
      <c r="BI6" s="353"/>
      <c r="BJ6" s="354" t="s">
        <v>102</v>
      </c>
      <c r="BK6" s="353"/>
      <c r="BL6" s="354" t="s">
        <v>102</v>
      </c>
      <c r="BM6" s="353"/>
      <c r="BN6" s="354" t="s">
        <v>102</v>
      </c>
      <c r="BO6" s="353"/>
      <c r="BP6" s="354" t="s">
        <v>102</v>
      </c>
      <c r="BQ6" s="353"/>
      <c r="BR6" s="354" t="s">
        <v>102</v>
      </c>
      <c r="BS6" s="353"/>
      <c r="BT6" s="354" t="s">
        <v>102</v>
      </c>
      <c r="BU6" s="353"/>
      <c r="BV6" s="353" t="s">
        <v>246</v>
      </c>
      <c r="BW6" s="353"/>
    </row>
    <row r="7" spans="1:75" s="216" customFormat="1" ht="15" x14ac:dyDescent="0.2">
      <c r="A7" s="306" t="s">
        <v>39</v>
      </c>
      <c r="B7" s="253"/>
      <c r="C7" s="254"/>
      <c r="D7" s="253"/>
      <c r="E7" s="254"/>
      <c r="F7" s="253"/>
      <c r="G7" s="254"/>
      <c r="H7" s="253"/>
      <c r="I7" s="254"/>
      <c r="J7" s="253"/>
      <c r="K7" s="254"/>
      <c r="L7" s="253"/>
      <c r="M7" s="254"/>
      <c r="N7" s="253"/>
      <c r="O7" s="254"/>
      <c r="P7" s="253"/>
      <c r="Q7" s="254"/>
      <c r="R7" s="253"/>
      <c r="S7" s="254"/>
      <c r="T7" s="253"/>
      <c r="U7" s="254"/>
      <c r="V7" s="253"/>
      <c r="W7" s="254"/>
      <c r="X7" s="253"/>
      <c r="Y7" s="254"/>
      <c r="Z7" s="253"/>
      <c r="AA7" s="254"/>
      <c r="AB7" s="253"/>
      <c r="AC7" s="254"/>
      <c r="AD7" s="253"/>
      <c r="AE7" s="254"/>
      <c r="AF7" s="253"/>
      <c r="AG7" s="254"/>
      <c r="AH7" s="253"/>
      <c r="AI7" s="254"/>
      <c r="AJ7" s="253"/>
      <c r="AK7" s="254"/>
      <c r="AL7" s="254"/>
      <c r="AM7" s="254"/>
      <c r="AN7" s="254"/>
      <c r="AO7" s="254"/>
      <c r="AP7" s="254"/>
      <c r="AQ7" s="254"/>
      <c r="AR7" s="254"/>
      <c r="AS7" s="254"/>
      <c r="AT7" s="254"/>
      <c r="AU7" s="254"/>
      <c r="AV7" s="254"/>
      <c r="AW7" s="254"/>
      <c r="AX7" s="254"/>
      <c r="AY7" s="254"/>
      <c r="AZ7" s="253"/>
      <c r="BA7" s="254"/>
      <c r="BB7" s="254"/>
      <c r="BC7" s="254"/>
      <c r="BD7" s="254"/>
      <c r="BE7" s="254"/>
      <c r="BF7" s="253"/>
      <c r="BG7" s="254"/>
      <c r="BH7" s="253"/>
      <c r="BI7" s="254"/>
      <c r="BJ7" s="254"/>
      <c r="BK7" s="254"/>
      <c r="BL7" s="254"/>
      <c r="BM7" s="254"/>
      <c r="BN7" s="254"/>
      <c r="BO7" s="254"/>
      <c r="BP7" s="254"/>
      <c r="BQ7" s="254"/>
      <c r="BR7" s="254"/>
      <c r="BS7" s="254"/>
      <c r="BT7" s="254"/>
      <c r="BU7" s="254"/>
      <c r="BV7" s="253"/>
      <c r="BW7" s="254"/>
    </row>
    <row r="8" spans="1:75" s="216" customFormat="1" x14ac:dyDescent="0.2">
      <c r="B8" s="209"/>
      <c r="C8" s="211"/>
      <c r="D8" s="209"/>
      <c r="E8" s="211"/>
      <c r="F8" s="209"/>
      <c r="G8" s="211"/>
      <c r="H8" s="209"/>
      <c r="I8" s="211"/>
      <c r="J8" s="209"/>
      <c r="K8" s="211"/>
      <c r="L8" s="209"/>
      <c r="M8" s="211"/>
      <c r="N8" s="209"/>
      <c r="O8" s="211"/>
      <c r="P8" s="209"/>
      <c r="Q8" s="211"/>
      <c r="R8" s="209"/>
      <c r="S8" s="211"/>
      <c r="T8" s="209"/>
      <c r="U8" s="211"/>
      <c r="V8" s="209"/>
      <c r="W8" s="211"/>
      <c r="X8" s="209"/>
      <c r="Y8" s="211"/>
      <c r="Z8" s="209"/>
      <c r="AA8" s="211"/>
      <c r="AB8" s="209"/>
      <c r="AC8" s="211"/>
      <c r="AD8" s="209"/>
      <c r="AE8" s="211"/>
      <c r="AF8" s="209"/>
      <c r="AG8" s="211"/>
      <c r="AH8" s="209"/>
      <c r="AI8" s="211"/>
      <c r="AJ8" s="209"/>
      <c r="AK8" s="211"/>
      <c r="AL8" s="211"/>
      <c r="AM8" s="211"/>
      <c r="AN8" s="211"/>
      <c r="AO8" s="211"/>
      <c r="AP8" s="211"/>
      <c r="AQ8" s="211"/>
      <c r="AR8" s="211"/>
      <c r="AS8" s="211"/>
      <c r="AT8" s="211"/>
      <c r="AU8" s="211"/>
      <c r="AV8" s="211"/>
      <c r="AW8" s="211"/>
      <c r="AX8" s="211"/>
      <c r="AY8" s="211"/>
      <c r="AZ8" s="209"/>
      <c r="BA8" s="211"/>
      <c r="BB8" s="211"/>
      <c r="BC8" s="211"/>
      <c r="BD8" s="211"/>
      <c r="BE8" s="211"/>
      <c r="BF8" s="209"/>
      <c r="BG8" s="211"/>
      <c r="BH8" s="209"/>
      <c r="BI8" s="211"/>
      <c r="BJ8" s="211"/>
      <c r="BK8" s="211"/>
      <c r="BL8" s="211"/>
      <c r="BM8" s="211"/>
      <c r="BN8" s="211"/>
      <c r="BO8" s="211"/>
      <c r="BP8" s="211"/>
      <c r="BQ8" s="211"/>
      <c r="BR8" s="211"/>
      <c r="BS8" s="211"/>
      <c r="BT8" s="211"/>
      <c r="BU8" s="211"/>
      <c r="BV8" s="209"/>
      <c r="BW8" s="211"/>
    </row>
    <row r="9" spans="1:75" s="216" customFormat="1" x14ac:dyDescent="0.2">
      <c r="A9" s="218" t="s">
        <v>40</v>
      </c>
      <c r="B9" s="209"/>
      <c r="C9" s="211"/>
      <c r="D9" s="209"/>
      <c r="E9" s="211"/>
      <c r="F9" s="209"/>
      <c r="G9" s="211"/>
      <c r="H9" s="209"/>
      <c r="I9" s="211"/>
      <c r="J9" s="209"/>
      <c r="K9" s="211"/>
      <c r="L9" s="209"/>
      <c r="M9" s="211"/>
      <c r="N9" s="209"/>
      <c r="O9" s="211"/>
      <c r="P9" s="209"/>
      <c r="Q9" s="211"/>
      <c r="R9" s="209"/>
      <c r="S9" s="211"/>
      <c r="T9" s="209"/>
      <c r="U9" s="211"/>
      <c r="V9" s="209"/>
      <c r="W9" s="211"/>
      <c r="X9" s="209"/>
      <c r="Y9" s="211"/>
      <c r="Z9" s="209"/>
      <c r="AA9" s="211"/>
      <c r="AB9" s="209"/>
      <c r="AC9" s="211"/>
      <c r="AD9" s="209"/>
      <c r="AE9" s="211"/>
      <c r="AF9" s="209"/>
      <c r="AG9" s="211"/>
      <c r="AH9" s="209"/>
      <c r="AI9" s="211"/>
      <c r="AJ9" s="209"/>
      <c r="AK9" s="211"/>
      <c r="AL9" s="211"/>
      <c r="AM9" s="211"/>
      <c r="AN9" s="211"/>
      <c r="AO9" s="211"/>
      <c r="AP9" s="211"/>
      <c r="AQ9" s="211"/>
      <c r="AR9" s="211"/>
      <c r="AS9" s="211"/>
      <c r="AT9" s="211"/>
      <c r="AU9" s="211"/>
      <c r="AV9" s="211"/>
      <c r="AW9" s="211"/>
      <c r="AX9" s="211"/>
      <c r="AY9" s="211"/>
      <c r="AZ9" s="209"/>
      <c r="BA9" s="211"/>
      <c r="BB9" s="211"/>
      <c r="BC9" s="211"/>
      <c r="BD9" s="211"/>
      <c r="BE9" s="211"/>
      <c r="BF9" s="209"/>
      <c r="BG9" s="211"/>
      <c r="BH9" s="209"/>
      <c r="BI9" s="211"/>
      <c r="BJ9" s="211"/>
      <c r="BK9" s="211"/>
      <c r="BL9" s="211"/>
      <c r="BM9" s="211"/>
      <c r="BN9" s="211"/>
      <c r="BO9" s="211"/>
      <c r="BP9" s="211"/>
      <c r="BQ9" s="211"/>
      <c r="BR9" s="211"/>
      <c r="BS9" s="211"/>
      <c r="BT9" s="211"/>
      <c r="BU9" s="211"/>
      <c r="BV9" s="209"/>
      <c r="BW9" s="211"/>
    </row>
    <row r="10" spans="1:75" x14ac:dyDescent="0.2">
      <c r="A10" s="214" t="s">
        <v>41</v>
      </c>
      <c r="B10" s="209">
        <v>39062630</v>
      </c>
      <c r="C10" s="213">
        <v>25846883</v>
      </c>
      <c r="D10" s="209">
        <v>192074164</v>
      </c>
      <c r="E10" s="213">
        <v>176858140</v>
      </c>
      <c r="F10" s="209"/>
      <c r="G10" s="213">
        <v>696941000</v>
      </c>
      <c r="H10" s="213">
        <v>51797714</v>
      </c>
      <c r="I10" s="213">
        <v>48141886</v>
      </c>
      <c r="J10" s="209">
        <v>1439872101</v>
      </c>
      <c r="K10" s="209">
        <v>1521914758</v>
      </c>
      <c r="L10" s="209">
        <v>68972022</v>
      </c>
      <c r="M10" s="213">
        <v>70521141</v>
      </c>
      <c r="N10" s="209">
        <v>2951645993</v>
      </c>
      <c r="O10" s="213">
        <v>2397107847</v>
      </c>
      <c r="P10" s="209">
        <v>4858405997</v>
      </c>
      <c r="Q10" s="213">
        <v>7149923439</v>
      </c>
      <c r="R10" s="209">
        <v>6835201942</v>
      </c>
      <c r="S10" s="213">
        <v>9136923370</v>
      </c>
      <c r="T10" s="209">
        <v>913312806</v>
      </c>
      <c r="U10" s="213">
        <v>1090352518</v>
      </c>
      <c r="V10" s="209">
        <v>19836000</v>
      </c>
      <c r="W10" s="213">
        <v>13058245</v>
      </c>
      <c r="X10" s="209">
        <v>151008034</v>
      </c>
      <c r="Y10" s="213">
        <v>181221432</v>
      </c>
      <c r="Z10" s="209"/>
      <c r="AA10" s="213">
        <v>150000</v>
      </c>
      <c r="AB10" s="209"/>
      <c r="AC10" s="213">
        <v>623583894</v>
      </c>
      <c r="AD10" s="209">
        <v>405276856721</v>
      </c>
      <c r="AE10" s="213">
        <v>308416658154</v>
      </c>
      <c r="AF10" s="209">
        <v>531526628</v>
      </c>
      <c r="AG10" s="213">
        <v>323076243</v>
      </c>
      <c r="AH10" s="209">
        <v>374626189</v>
      </c>
      <c r="AI10" s="213">
        <v>330290127</v>
      </c>
      <c r="AJ10" s="209">
        <v>45923888</v>
      </c>
      <c r="AK10" s="213">
        <v>45434066</v>
      </c>
      <c r="AL10" s="213">
        <v>341529317</v>
      </c>
      <c r="AM10" s="213">
        <v>491775993</v>
      </c>
      <c r="AN10" s="213">
        <v>54286723</v>
      </c>
      <c r="AO10" s="213">
        <v>66431471</v>
      </c>
      <c r="AP10" s="213">
        <v>898915669</v>
      </c>
      <c r="AQ10" s="213">
        <v>790284544</v>
      </c>
      <c r="AR10" s="213">
        <v>4493994807</v>
      </c>
      <c r="AS10" s="213">
        <v>5136173301</v>
      </c>
      <c r="AT10" s="213">
        <v>1011794</v>
      </c>
      <c r="AU10" s="213">
        <v>37987054</v>
      </c>
      <c r="AV10" s="213">
        <v>39578250650</v>
      </c>
      <c r="AW10" s="213">
        <v>33824521892</v>
      </c>
      <c r="AX10" s="213">
        <v>102823709</v>
      </c>
      <c r="AY10" s="213">
        <v>79036430</v>
      </c>
      <c r="AZ10" s="209">
        <v>2646858383</v>
      </c>
      <c r="BA10" s="213">
        <v>1022953396</v>
      </c>
      <c r="BB10" s="213">
        <v>5108045000</v>
      </c>
      <c r="BC10" s="213">
        <v>5982200000</v>
      </c>
      <c r="BD10" s="213">
        <v>39062630</v>
      </c>
      <c r="BE10" s="213">
        <v>25846883</v>
      </c>
      <c r="BF10" s="209">
        <v>2671325522</v>
      </c>
      <c r="BG10" s="213">
        <v>3047507220</v>
      </c>
      <c r="BH10" s="209">
        <v>2801780827</v>
      </c>
      <c r="BI10" s="213">
        <v>3704916546</v>
      </c>
      <c r="BJ10" s="213">
        <v>224219831</v>
      </c>
      <c r="BK10" s="213">
        <v>390298000</v>
      </c>
      <c r="BL10" s="213">
        <v>298710185</v>
      </c>
      <c r="BM10" s="213">
        <v>247160796</v>
      </c>
      <c r="BN10" s="213">
        <v>2174215222</v>
      </c>
      <c r="BO10" s="213">
        <v>2090350138</v>
      </c>
      <c r="BP10" s="213">
        <v>3610302233</v>
      </c>
      <c r="BQ10" s="213">
        <v>5120937757</v>
      </c>
      <c r="BR10" s="213">
        <v>64384099</v>
      </c>
      <c r="BS10" s="213">
        <v>68394028</v>
      </c>
      <c r="BT10" s="213">
        <v>672003000</v>
      </c>
      <c r="BU10" s="213">
        <v>695167000</v>
      </c>
      <c r="BV10" s="209">
        <f>+B10+D10+F10++H10+J10+L10+N10+P10+R10+T10+V10+X10+Z10+AB10+AD10+AF10+AH10+AJ10+AL10+AN10+AP10+AR10+AT10+AV10+AX10+AZ10+BB10+BD10+BF10+BH10+BJ10+BL10+BN10+BP10+BR10+BT10</f>
        <v>489531842430</v>
      </c>
      <c r="BW10" s="209">
        <f t="shared" ref="BW10:BW11" si="0">+C10+E10+G10++I10+K10+M10+O10+Q10+S10+U10+W10+Y10+AA10+AC10+AE10+AG10+AI10+AK10+AM10+AO10+AQ10+AS10+AU10+AW10+AY10+BA10+BC10+BE10+BG10+BI10+BK10+BM10+BO10+BQ10+BS10+BU10</f>
        <v>395069945592</v>
      </c>
    </row>
    <row r="11" spans="1:75" x14ac:dyDescent="0.2">
      <c r="A11" s="214" t="s">
        <v>42</v>
      </c>
      <c r="B11" s="213">
        <v>81255650</v>
      </c>
      <c r="C11" s="213">
        <v>70155557</v>
      </c>
      <c r="D11" s="213">
        <v>979000783</v>
      </c>
      <c r="E11" s="213">
        <v>1009424355</v>
      </c>
      <c r="F11" s="213"/>
      <c r="G11" s="213">
        <v>485138000</v>
      </c>
      <c r="H11" s="213">
        <v>426600000</v>
      </c>
      <c r="I11" s="213">
        <v>426600000</v>
      </c>
      <c r="J11" s="209">
        <v>206217317</v>
      </c>
      <c r="K11" s="209">
        <v>159214139</v>
      </c>
      <c r="L11" s="213">
        <v>12112977</v>
      </c>
      <c r="M11" s="213">
        <v>12372977</v>
      </c>
      <c r="N11" s="213">
        <v>1063357492</v>
      </c>
      <c r="O11" s="213">
        <v>878088009</v>
      </c>
      <c r="P11" s="213">
        <v>1737999841</v>
      </c>
      <c r="Q11" s="213">
        <v>2723084537</v>
      </c>
      <c r="R11" s="213">
        <v>7082537098</v>
      </c>
      <c r="S11" s="213">
        <v>6713052169</v>
      </c>
      <c r="T11" s="213">
        <v>237002532</v>
      </c>
      <c r="U11" s="213">
        <v>197865293</v>
      </c>
      <c r="V11" s="213">
        <v>517686000</v>
      </c>
      <c r="W11" s="213">
        <v>517686000</v>
      </c>
      <c r="X11" s="213">
        <v>14839337</v>
      </c>
      <c r="Y11" s="213">
        <v>10978397</v>
      </c>
      <c r="Z11" s="213"/>
      <c r="AA11" s="213">
        <v>214849904</v>
      </c>
      <c r="AB11" s="213"/>
      <c r="AC11" s="213">
        <v>74744888</v>
      </c>
      <c r="AD11" s="213">
        <v>10876508312</v>
      </c>
      <c r="AE11" s="213">
        <v>12817867006</v>
      </c>
      <c r="AF11" s="213">
        <v>375738317</v>
      </c>
      <c r="AG11" s="213">
        <v>310584276</v>
      </c>
      <c r="AH11" s="213"/>
      <c r="AI11" s="213"/>
      <c r="AJ11" s="213">
        <v>18622211</v>
      </c>
      <c r="AK11" s="213">
        <v>21431946</v>
      </c>
      <c r="AL11" s="213">
        <v>3149776391</v>
      </c>
      <c r="AM11" s="213">
        <v>2758700336</v>
      </c>
      <c r="AN11" s="213">
        <v>544536709</v>
      </c>
      <c r="AO11" s="213">
        <v>544536709</v>
      </c>
      <c r="AP11" s="213">
        <v>1447751757</v>
      </c>
      <c r="AQ11" s="213">
        <v>2322758801</v>
      </c>
      <c r="AR11" s="213">
        <v>848562311</v>
      </c>
      <c r="AS11" s="213">
        <v>867895645</v>
      </c>
      <c r="AT11" s="213">
        <v>49369086</v>
      </c>
      <c r="AU11" s="213">
        <v>56240484</v>
      </c>
      <c r="AV11" s="213">
        <v>19489011555</v>
      </c>
      <c r="AW11" s="213">
        <v>17502024970</v>
      </c>
      <c r="AX11" s="213">
        <v>133431936</v>
      </c>
      <c r="AY11" s="213">
        <v>119723136</v>
      </c>
      <c r="AZ11" s="213">
        <v>8223097783</v>
      </c>
      <c r="BA11" s="213">
        <v>9353900059</v>
      </c>
      <c r="BB11" s="213">
        <v>756052000</v>
      </c>
      <c r="BC11" s="213">
        <v>582210000</v>
      </c>
      <c r="BD11" s="213">
        <v>81255650</v>
      </c>
      <c r="BE11" s="213">
        <v>70155558</v>
      </c>
      <c r="BF11" s="213">
        <v>367781906</v>
      </c>
      <c r="BG11" s="213">
        <v>710005377</v>
      </c>
      <c r="BH11" s="213">
        <v>1288336278</v>
      </c>
      <c r="BI11" s="213">
        <v>1978919731</v>
      </c>
      <c r="BJ11" s="213">
        <v>408236664</v>
      </c>
      <c r="BK11" s="213">
        <v>437713000</v>
      </c>
      <c r="BL11" s="213">
        <v>223182400</v>
      </c>
      <c r="BM11" s="213">
        <v>225258030</v>
      </c>
      <c r="BN11" s="213">
        <v>754134845</v>
      </c>
      <c r="BO11" s="213">
        <v>593934360</v>
      </c>
      <c r="BP11" s="213">
        <v>4028028063</v>
      </c>
      <c r="BQ11" s="213">
        <v>4093028063</v>
      </c>
      <c r="BR11" s="213">
        <v>804961000</v>
      </c>
      <c r="BS11" s="213">
        <v>804438301</v>
      </c>
      <c r="BT11" s="213">
        <v>1496831000</v>
      </c>
      <c r="BU11" s="213">
        <v>1534348000</v>
      </c>
      <c r="BV11" s="209">
        <f t="shared" ref="BV11" si="1">+B11+D11+F11++H11+J11+L11+N11+P11+R11+T11+V11+X11+Z11+AB11+AD11+AF11+AH11+AJ11+AL11+AN11+AP11+AR11+AT11+AV11+AX11+AZ11+BB11+BD11+BF11+BH11+BJ11+BL11+BN11+BP11+BR11+BT11</f>
        <v>67723815201</v>
      </c>
      <c r="BW11" s="209">
        <f t="shared" si="0"/>
        <v>71198928013</v>
      </c>
    </row>
    <row r="12" spans="1:75" s="224" customFormat="1" x14ac:dyDescent="0.2">
      <c r="A12" s="223" t="s">
        <v>43</v>
      </c>
      <c r="B12" s="210">
        <f t="shared" ref="B12:BW12" si="2">+B10+B11</f>
        <v>120318280</v>
      </c>
      <c r="C12" s="210">
        <f t="shared" si="2"/>
        <v>96002440</v>
      </c>
      <c r="D12" s="210">
        <f t="shared" si="2"/>
        <v>1171074947</v>
      </c>
      <c r="E12" s="210">
        <f t="shared" si="2"/>
        <v>1186282495</v>
      </c>
      <c r="F12" s="210">
        <f t="shared" si="2"/>
        <v>0</v>
      </c>
      <c r="G12" s="210">
        <f t="shared" si="2"/>
        <v>1182079000</v>
      </c>
      <c r="H12" s="210">
        <f t="shared" si="2"/>
        <v>478397714</v>
      </c>
      <c r="I12" s="210">
        <f t="shared" si="2"/>
        <v>474741886</v>
      </c>
      <c r="J12" s="210">
        <f t="shared" si="2"/>
        <v>1646089418</v>
      </c>
      <c r="K12" s="210">
        <f t="shared" si="2"/>
        <v>1681128897</v>
      </c>
      <c r="L12" s="210">
        <f t="shared" si="2"/>
        <v>81084999</v>
      </c>
      <c r="M12" s="210">
        <f t="shared" si="2"/>
        <v>82894118</v>
      </c>
      <c r="N12" s="210">
        <f t="shared" si="2"/>
        <v>4015003485</v>
      </c>
      <c r="O12" s="210">
        <f t="shared" si="2"/>
        <v>3275195856</v>
      </c>
      <c r="P12" s="210">
        <f t="shared" si="2"/>
        <v>6596405838</v>
      </c>
      <c r="Q12" s="210">
        <f t="shared" si="2"/>
        <v>9873007976</v>
      </c>
      <c r="R12" s="210">
        <f t="shared" si="2"/>
        <v>13917739040</v>
      </c>
      <c r="S12" s="210">
        <f t="shared" si="2"/>
        <v>15849975539</v>
      </c>
      <c r="T12" s="210">
        <f t="shared" si="2"/>
        <v>1150315338</v>
      </c>
      <c r="U12" s="210">
        <f t="shared" si="2"/>
        <v>1288217811</v>
      </c>
      <c r="V12" s="210">
        <f t="shared" si="2"/>
        <v>537522000</v>
      </c>
      <c r="W12" s="210">
        <f t="shared" si="2"/>
        <v>530744245</v>
      </c>
      <c r="X12" s="210">
        <f t="shared" ref="X12:Y12" si="3">+X10+X11</f>
        <v>165847371</v>
      </c>
      <c r="Y12" s="210">
        <f t="shared" si="3"/>
        <v>192199829</v>
      </c>
      <c r="Z12" s="210">
        <f t="shared" ref="Z12:AA12" si="4">+Z10+Z11</f>
        <v>0</v>
      </c>
      <c r="AA12" s="210">
        <f t="shared" si="4"/>
        <v>214999904</v>
      </c>
      <c r="AB12" s="210">
        <f t="shared" ref="AB12:AC12" si="5">+AB10+AB11</f>
        <v>0</v>
      </c>
      <c r="AC12" s="210">
        <f t="shared" si="5"/>
        <v>698328782</v>
      </c>
      <c r="AD12" s="210">
        <f t="shared" ref="AD12:AK12" si="6">+AD10+AD11</f>
        <v>416153365033</v>
      </c>
      <c r="AE12" s="210">
        <f t="shared" si="6"/>
        <v>321234525160</v>
      </c>
      <c r="AF12" s="210">
        <f t="shared" si="6"/>
        <v>907264945</v>
      </c>
      <c r="AG12" s="210">
        <f t="shared" si="6"/>
        <v>633660519</v>
      </c>
      <c r="AH12" s="210">
        <f t="shared" si="6"/>
        <v>374626189</v>
      </c>
      <c r="AI12" s="210">
        <f t="shared" si="6"/>
        <v>330290127</v>
      </c>
      <c r="AJ12" s="210">
        <f t="shared" si="6"/>
        <v>64546099</v>
      </c>
      <c r="AK12" s="210">
        <f t="shared" si="6"/>
        <v>66866012</v>
      </c>
      <c r="AL12" s="210">
        <f t="shared" ref="AL12" si="7">+AL10+AL11</f>
        <v>3491305708</v>
      </c>
      <c r="AM12" s="210">
        <f t="shared" ref="AM12" si="8">+AM10+AM11</f>
        <v>3250476329</v>
      </c>
      <c r="AN12" s="210">
        <f t="shared" ref="AN12" si="9">+AN10+AN11</f>
        <v>598823432</v>
      </c>
      <c r="AO12" s="210">
        <f t="shared" ref="AO12" si="10">+AO10+AO11</f>
        <v>610968180</v>
      </c>
      <c r="AP12" s="210">
        <f t="shared" ref="AP12" si="11">+AP10+AP11</f>
        <v>2346667426</v>
      </c>
      <c r="AQ12" s="210">
        <f t="shared" ref="AQ12" si="12">+AQ10+AQ11</f>
        <v>3113043345</v>
      </c>
      <c r="AR12" s="210">
        <f t="shared" ref="AR12:AT12" si="13">+AR10+AR11</f>
        <v>5342557118</v>
      </c>
      <c r="AS12" s="210">
        <f t="shared" ref="AS12:AV12" si="14">+AS10+AS11</f>
        <v>6004068946</v>
      </c>
      <c r="AT12" s="210">
        <f t="shared" si="13"/>
        <v>50380880</v>
      </c>
      <c r="AU12" s="210">
        <f t="shared" si="14"/>
        <v>94227538</v>
      </c>
      <c r="AV12" s="210">
        <f t="shared" si="14"/>
        <v>59067262205</v>
      </c>
      <c r="AW12" s="210">
        <f t="shared" ref="AW12" si="15">+AW10+AW11</f>
        <v>51326546862</v>
      </c>
      <c r="AX12" s="210">
        <f>+AX10+AX11</f>
        <v>236255645</v>
      </c>
      <c r="AY12" s="210">
        <f>+AY10+AY11</f>
        <v>198759566</v>
      </c>
      <c r="AZ12" s="210">
        <f>+AZ10+AZ11</f>
        <v>10869956166</v>
      </c>
      <c r="BA12" s="210">
        <f>+BA10+BA11</f>
        <v>10376853455</v>
      </c>
      <c r="BB12" s="210">
        <f t="shared" ref="BB12" si="16">+BB10+BB11</f>
        <v>5864097000</v>
      </c>
      <c r="BC12" s="210">
        <f t="shared" ref="BC12:BD12" si="17">+BC10+BC11</f>
        <v>6564410000</v>
      </c>
      <c r="BD12" s="210">
        <f t="shared" si="17"/>
        <v>120318280</v>
      </c>
      <c r="BE12" s="210">
        <f t="shared" ref="BE12" si="18">+BE10+BE11</f>
        <v>96002441</v>
      </c>
      <c r="BF12" s="210">
        <f t="shared" ref="BF12:BS12" si="19">+BF10+BF11</f>
        <v>3039107428</v>
      </c>
      <c r="BG12" s="210">
        <f t="shared" si="19"/>
        <v>3757512597</v>
      </c>
      <c r="BH12" s="210">
        <f t="shared" si="19"/>
        <v>4090117105</v>
      </c>
      <c r="BI12" s="210">
        <f t="shared" si="19"/>
        <v>5683836277</v>
      </c>
      <c r="BJ12" s="210">
        <f t="shared" si="19"/>
        <v>632456495</v>
      </c>
      <c r="BK12" s="210">
        <f t="shared" si="19"/>
        <v>828011000</v>
      </c>
      <c r="BL12" s="210">
        <f t="shared" si="19"/>
        <v>521892585</v>
      </c>
      <c r="BM12" s="210">
        <f t="shared" si="19"/>
        <v>472418826</v>
      </c>
      <c r="BN12" s="210">
        <f t="shared" si="19"/>
        <v>2928350067</v>
      </c>
      <c r="BO12" s="210">
        <f t="shared" si="19"/>
        <v>2684284498</v>
      </c>
      <c r="BP12" s="210">
        <f t="shared" si="19"/>
        <v>7638330296</v>
      </c>
      <c r="BQ12" s="210">
        <f t="shared" si="19"/>
        <v>9213965820</v>
      </c>
      <c r="BR12" s="210">
        <f t="shared" si="19"/>
        <v>869345099</v>
      </c>
      <c r="BS12" s="210">
        <f t="shared" si="19"/>
        <v>872832329</v>
      </c>
      <c r="BT12" s="210">
        <f t="shared" ref="BT12:BU12" si="20">+BT10+BT11</f>
        <v>2168834000</v>
      </c>
      <c r="BU12" s="210">
        <f t="shared" si="20"/>
        <v>2229515000</v>
      </c>
      <c r="BV12" s="210">
        <f t="shared" si="2"/>
        <v>557255657631</v>
      </c>
      <c r="BW12" s="210">
        <f t="shared" si="2"/>
        <v>466268873605</v>
      </c>
    </row>
    <row r="13" spans="1:75" x14ac:dyDescent="0.2">
      <c r="A13" s="218" t="s">
        <v>44</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row>
    <row r="14" spans="1:75" x14ac:dyDescent="0.2">
      <c r="A14" s="214" t="s">
        <v>45</v>
      </c>
      <c r="B14" s="213">
        <v>104685843</v>
      </c>
      <c r="C14" s="213">
        <v>99871864</v>
      </c>
      <c r="D14" s="213">
        <v>92586407</v>
      </c>
      <c r="E14" s="213">
        <v>101680268</v>
      </c>
      <c r="F14" s="213"/>
      <c r="G14" s="213">
        <v>218085000</v>
      </c>
      <c r="H14" s="213">
        <v>9960325</v>
      </c>
      <c r="I14" s="213">
        <v>4191997</v>
      </c>
      <c r="J14" s="213">
        <v>526621842</v>
      </c>
      <c r="K14" s="213">
        <v>442645551</v>
      </c>
      <c r="L14" s="213">
        <v>15312015</v>
      </c>
      <c r="M14" s="213">
        <v>9413848</v>
      </c>
      <c r="N14" s="213">
        <v>1977843019</v>
      </c>
      <c r="O14" s="213">
        <v>1010059110</v>
      </c>
      <c r="P14" s="213">
        <v>1120601351</v>
      </c>
      <c r="Q14" s="213">
        <v>1327500640</v>
      </c>
      <c r="R14" s="213">
        <v>1379384254</v>
      </c>
      <c r="S14" s="213">
        <v>1979119670</v>
      </c>
      <c r="T14" s="213">
        <v>118438208</v>
      </c>
      <c r="U14" s="213">
        <v>185771113</v>
      </c>
      <c r="V14" s="213">
        <v>7901600</v>
      </c>
      <c r="W14" s="213">
        <v>5417800</v>
      </c>
      <c r="X14" s="213">
        <v>25825488</v>
      </c>
      <c r="Y14" s="213">
        <v>50990435</v>
      </c>
      <c r="Z14" s="213"/>
      <c r="AA14" s="213">
        <v>0</v>
      </c>
      <c r="AB14" s="213"/>
      <c r="AC14" s="213">
        <v>7433692</v>
      </c>
      <c r="AD14" s="213">
        <v>292213993543</v>
      </c>
      <c r="AE14" s="213">
        <v>178707709948</v>
      </c>
      <c r="AF14" s="213">
        <v>237714962</v>
      </c>
      <c r="AG14" s="213">
        <v>35779242</v>
      </c>
      <c r="AH14" s="213">
        <v>5814500</v>
      </c>
      <c r="AI14" s="213">
        <v>9832000</v>
      </c>
      <c r="AJ14" s="213">
        <v>33796141</v>
      </c>
      <c r="AK14" s="213">
        <v>39490058</v>
      </c>
      <c r="AL14" s="213">
        <v>345582334</v>
      </c>
      <c r="AM14" s="213">
        <v>114139777</v>
      </c>
      <c r="AN14" s="213">
        <v>22532139</v>
      </c>
      <c r="AO14" s="213">
        <v>27186535</v>
      </c>
      <c r="AP14" s="213">
        <v>298637225</v>
      </c>
      <c r="AQ14" s="213">
        <v>369210420</v>
      </c>
      <c r="AR14" s="213">
        <v>293045210</v>
      </c>
      <c r="AS14" s="213">
        <v>511984005</v>
      </c>
      <c r="AT14" s="213">
        <v>46125996</v>
      </c>
      <c r="AU14" s="213">
        <v>188603184</v>
      </c>
      <c r="AV14" s="213">
        <v>32277769767</v>
      </c>
      <c r="AW14" s="213">
        <v>22882242926</v>
      </c>
      <c r="AX14" s="213">
        <v>39475307</v>
      </c>
      <c r="AY14" s="213">
        <v>29543068</v>
      </c>
      <c r="AZ14" s="213">
        <f>137247736+11522264+362295336+67000+51941934+152552346</f>
        <v>715626616</v>
      </c>
      <c r="BA14" s="213">
        <f>9033647+242322452+10190938+53850296</f>
        <v>315397333</v>
      </c>
      <c r="BB14" s="213">
        <v>3425246000</v>
      </c>
      <c r="BC14" s="213">
        <v>3660202000</v>
      </c>
      <c r="BD14" s="213">
        <v>104685843</v>
      </c>
      <c r="BE14" s="213">
        <v>99871864</v>
      </c>
      <c r="BF14" s="213">
        <v>1327686262</v>
      </c>
      <c r="BG14" s="213">
        <v>1658891398</v>
      </c>
      <c r="BH14" s="213">
        <v>921437583</v>
      </c>
      <c r="BI14" s="213">
        <v>1571002790</v>
      </c>
      <c r="BJ14" s="213">
        <v>379560834</v>
      </c>
      <c r="BK14" s="213">
        <v>777802000</v>
      </c>
      <c r="BL14" s="213">
        <v>166385609</v>
      </c>
      <c r="BM14" s="213">
        <v>157455615</v>
      </c>
      <c r="BN14" s="213">
        <v>1578271002</v>
      </c>
      <c r="BO14" s="213">
        <v>1292887880</v>
      </c>
      <c r="BP14" s="213">
        <v>616254492</v>
      </c>
      <c r="BQ14" s="213">
        <v>1178414113</v>
      </c>
      <c r="BR14" s="213">
        <v>37882317</v>
      </c>
      <c r="BS14" s="213">
        <v>32554973</v>
      </c>
      <c r="BT14" s="213">
        <v>475796000</v>
      </c>
      <c r="BU14" s="213">
        <v>500555000</v>
      </c>
      <c r="BV14" s="209">
        <f t="shared" ref="BV14:BV15" si="21">+B14+D14+F14++H14+J14+L14+N14+P14+R14+T14+V14+X14+Z14+AB14+AD14+AF14+AH14+AJ14+AL14+AN14+AP14+AR14+AT14+AV14+AX14+AZ14+BB14+BD14+BF14+BH14+BJ14+BL14+BN14+BP14+BR14+BT14</f>
        <v>340942480034</v>
      </c>
      <c r="BW14" s="209">
        <f t="shared" ref="BW14:BW15" si="22">+C14+E14+G14++I14+K14+M14+O14+Q14+S14+U14+W14+Y14+AA14+AC14+AE14+AG14+AI14+AK14+AM14+AO14+AQ14+AS14+AU14+AW14+AY14+BA14+BC14+BE14+BG14+BI14+BK14+BM14+BO14+BQ14+BS14+BU14</f>
        <v>219602937117</v>
      </c>
    </row>
    <row r="15" spans="1:75" x14ac:dyDescent="0.2">
      <c r="A15" s="226" t="s">
        <v>46</v>
      </c>
      <c r="B15" s="213"/>
      <c r="C15" s="213">
        <v>119109781</v>
      </c>
      <c r="D15" s="213">
        <v>180791763</v>
      </c>
      <c r="E15" s="213">
        <v>252765631</v>
      </c>
      <c r="F15" s="213"/>
      <c r="G15" s="213">
        <v>300000000</v>
      </c>
      <c r="H15" s="213"/>
      <c r="I15" s="213"/>
      <c r="J15" s="213">
        <v>790276085</v>
      </c>
      <c r="K15" s="213">
        <v>767263440</v>
      </c>
      <c r="L15" s="213">
        <v>0</v>
      </c>
      <c r="M15" s="213">
        <v>0</v>
      </c>
      <c r="N15" s="213">
        <v>868215269</v>
      </c>
      <c r="O15" s="213">
        <v>1090087158</v>
      </c>
      <c r="P15" s="213">
        <v>3584790162</v>
      </c>
      <c r="Q15" s="213">
        <v>5847132398</v>
      </c>
      <c r="R15" s="213">
        <v>3087062258</v>
      </c>
      <c r="S15" s="213">
        <v>3220562467</v>
      </c>
      <c r="T15" s="213">
        <v>9000004</v>
      </c>
      <c r="U15" s="213">
        <v>7500005</v>
      </c>
      <c r="V15" s="213"/>
      <c r="W15" s="213"/>
      <c r="X15" s="213"/>
      <c r="Y15" s="213"/>
      <c r="Z15" s="213"/>
      <c r="AA15" s="213">
        <v>0</v>
      </c>
      <c r="AB15" s="213"/>
      <c r="AC15" s="213">
        <v>655048720</v>
      </c>
      <c r="AD15" s="213">
        <v>11262299385</v>
      </c>
      <c r="AE15" s="213">
        <v>18206765916</v>
      </c>
      <c r="AF15" s="213">
        <v>245297484</v>
      </c>
      <c r="AG15" s="213">
        <v>206355508</v>
      </c>
      <c r="AH15" s="213"/>
      <c r="AI15" s="213"/>
      <c r="AJ15" s="213">
        <v>1436151</v>
      </c>
      <c r="AK15" s="213">
        <v>2913884</v>
      </c>
      <c r="AL15" s="213">
        <v>2597665027</v>
      </c>
      <c r="AM15" s="213">
        <v>2553151417</v>
      </c>
      <c r="AN15" s="213"/>
      <c r="AO15" s="213"/>
      <c r="AP15" s="213">
        <v>277193489</v>
      </c>
      <c r="AQ15" s="213">
        <v>275010227</v>
      </c>
      <c r="AR15" s="213"/>
      <c r="AS15" s="213"/>
      <c r="AT15" s="213"/>
      <c r="AU15" s="213"/>
      <c r="AV15" s="213">
        <v>5094607575</v>
      </c>
      <c r="AW15" s="213">
        <v>7205919655</v>
      </c>
      <c r="AX15" s="213"/>
      <c r="AY15" s="213"/>
      <c r="AZ15" s="213">
        <f>320244718+2898494616+58138817</f>
        <v>3276878151</v>
      </c>
      <c r="BA15" s="213">
        <f>21078511+3663115863</f>
        <v>3684194374</v>
      </c>
      <c r="BB15" s="213"/>
      <c r="BC15" s="213">
        <v>8970000</v>
      </c>
      <c r="BD15" s="213">
        <v>0</v>
      </c>
      <c r="BE15" s="213">
        <v>119109781</v>
      </c>
      <c r="BF15" s="213"/>
      <c r="BG15" s="213">
        <v>99410000</v>
      </c>
      <c r="BH15" s="213">
        <v>53568368</v>
      </c>
      <c r="BI15" s="213">
        <v>577456370</v>
      </c>
      <c r="BJ15" s="213"/>
      <c r="BK15" s="213"/>
      <c r="BL15" s="213"/>
      <c r="BM15" s="213"/>
      <c r="BN15" s="213">
        <v>467552089</v>
      </c>
      <c r="BO15" s="213">
        <v>972886168</v>
      </c>
      <c r="BP15" s="213">
        <v>1548019366</v>
      </c>
      <c r="BQ15" s="213">
        <v>2090853300</v>
      </c>
      <c r="BR15" s="213"/>
      <c r="BS15" s="213"/>
      <c r="BT15" s="213">
        <v>589620000</v>
      </c>
      <c r="BU15" s="213">
        <v>581024000</v>
      </c>
      <c r="BV15" s="209">
        <f t="shared" si="21"/>
        <v>33934272626</v>
      </c>
      <c r="BW15" s="209">
        <f t="shared" si="22"/>
        <v>48843490200</v>
      </c>
    </row>
    <row r="16" spans="1:75" s="224" customFormat="1" x14ac:dyDescent="0.2">
      <c r="A16" s="223" t="s">
        <v>47</v>
      </c>
      <c r="B16" s="210">
        <f t="shared" ref="B16:BW16" si="23">+B14+B15</f>
        <v>104685843</v>
      </c>
      <c r="C16" s="210">
        <f t="shared" si="23"/>
        <v>218981645</v>
      </c>
      <c r="D16" s="210">
        <f t="shared" si="23"/>
        <v>273378170</v>
      </c>
      <c r="E16" s="210">
        <f t="shared" si="23"/>
        <v>354445899</v>
      </c>
      <c r="F16" s="210">
        <f t="shared" si="23"/>
        <v>0</v>
      </c>
      <c r="G16" s="210">
        <f t="shared" si="23"/>
        <v>518085000</v>
      </c>
      <c r="H16" s="210">
        <f t="shared" si="23"/>
        <v>9960325</v>
      </c>
      <c r="I16" s="210">
        <f t="shared" si="23"/>
        <v>4191997</v>
      </c>
      <c r="J16" s="210">
        <f t="shared" si="23"/>
        <v>1316897927</v>
      </c>
      <c r="K16" s="210">
        <f t="shared" si="23"/>
        <v>1209908991</v>
      </c>
      <c r="L16" s="210">
        <f t="shared" si="23"/>
        <v>15312015</v>
      </c>
      <c r="M16" s="210">
        <f t="shared" si="23"/>
        <v>9413848</v>
      </c>
      <c r="N16" s="210">
        <f t="shared" si="23"/>
        <v>2846058288</v>
      </c>
      <c r="O16" s="210">
        <f t="shared" si="23"/>
        <v>2100146268</v>
      </c>
      <c r="P16" s="210">
        <f t="shared" si="23"/>
        <v>4705391513</v>
      </c>
      <c r="Q16" s="210">
        <f t="shared" si="23"/>
        <v>7174633038</v>
      </c>
      <c r="R16" s="210">
        <f t="shared" si="23"/>
        <v>4466446512</v>
      </c>
      <c r="S16" s="210">
        <f t="shared" si="23"/>
        <v>5199682137</v>
      </c>
      <c r="T16" s="210">
        <f t="shared" si="23"/>
        <v>127438212</v>
      </c>
      <c r="U16" s="210">
        <f t="shared" si="23"/>
        <v>193271118</v>
      </c>
      <c r="V16" s="210">
        <f t="shared" si="23"/>
        <v>7901600</v>
      </c>
      <c r="W16" s="210">
        <f t="shared" si="23"/>
        <v>5417800</v>
      </c>
      <c r="X16" s="210">
        <f t="shared" si="23"/>
        <v>25825488</v>
      </c>
      <c r="Y16" s="210">
        <f t="shared" si="23"/>
        <v>50990435</v>
      </c>
      <c r="Z16" s="210">
        <f t="shared" si="23"/>
        <v>0</v>
      </c>
      <c r="AA16" s="210">
        <f t="shared" si="23"/>
        <v>0</v>
      </c>
      <c r="AB16" s="210">
        <f t="shared" si="23"/>
        <v>0</v>
      </c>
      <c r="AC16" s="210">
        <f t="shared" si="23"/>
        <v>662482412</v>
      </c>
      <c r="AD16" s="210">
        <f t="shared" si="23"/>
        <v>303476292928</v>
      </c>
      <c r="AE16" s="210">
        <f t="shared" si="23"/>
        <v>196914475864</v>
      </c>
      <c r="AF16" s="210">
        <f t="shared" si="23"/>
        <v>483012446</v>
      </c>
      <c r="AG16" s="210">
        <f t="shared" si="23"/>
        <v>242134750</v>
      </c>
      <c r="AH16" s="210">
        <f t="shared" si="23"/>
        <v>5814500</v>
      </c>
      <c r="AI16" s="210">
        <f t="shared" si="23"/>
        <v>9832000</v>
      </c>
      <c r="AJ16" s="210">
        <f t="shared" si="23"/>
        <v>35232292</v>
      </c>
      <c r="AK16" s="210">
        <f t="shared" si="23"/>
        <v>42403942</v>
      </c>
      <c r="AL16" s="210">
        <f t="shared" si="23"/>
        <v>2943247361</v>
      </c>
      <c r="AM16" s="210">
        <f t="shared" si="23"/>
        <v>2667291194</v>
      </c>
      <c r="AN16" s="210">
        <f t="shared" si="23"/>
        <v>22532139</v>
      </c>
      <c r="AO16" s="210">
        <f t="shared" si="23"/>
        <v>27186535</v>
      </c>
      <c r="AP16" s="210">
        <f t="shared" si="23"/>
        <v>575830714</v>
      </c>
      <c r="AQ16" s="210">
        <f t="shared" si="23"/>
        <v>644220647</v>
      </c>
      <c r="AR16" s="210">
        <f t="shared" si="23"/>
        <v>293045210</v>
      </c>
      <c r="AS16" s="210">
        <f t="shared" si="23"/>
        <v>511984005</v>
      </c>
      <c r="AT16" s="210">
        <f t="shared" si="23"/>
        <v>46125996</v>
      </c>
      <c r="AU16" s="210">
        <f t="shared" si="23"/>
        <v>188603184</v>
      </c>
      <c r="AV16" s="210">
        <f t="shared" si="23"/>
        <v>37372377342</v>
      </c>
      <c r="AW16" s="210">
        <f t="shared" si="23"/>
        <v>30088162581</v>
      </c>
      <c r="AX16" s="210">
        <f>+AX14+AX15</f>
        <v>39475307</v>
      </c>
      <c r="AY16" s="210">
        <f>+AY14+AY15</f>
        <v>29543068</v>
      </c>
      <c r="AZ16" s="210">
        <f>+AZ14+AZ15</f>
        <v>3992504767</v>
      </c>
      <c r="BA16" s="210">
        <f>+BA14+BA15</f>
        <v>3999591707</v>
      </c>
      <c r="BB16" s="210">
        <f t="shared" ref="BB16:BE16" si="24">+BB14+BB15</f>
        <v>3425246000</v>
      </c>
      <c r="BC16" s="210">
        <f t="shared" si="24"/>
        <v>3669172000</v>
      </c>
      <c r="BD16" s="210">
        <f t="shared" si="24"/>
        <v>104685843</v>
      </c>
      <c r="BE16" s="210">
        <f t="shared" si="24"/>
        <v>218981645</v>
      </c>
      <c r="BF16" s="210">
        <f t="shared" ref="BF16:BS16" si="25">+BF14+BF15</f>
        <v>1327686262</v>
      </c>
      <c r="BG16" s="210">
        <f t="shared" si="25"/>
        <v>1758301398</v>
      </c>
      <c r="BH16" s="210">
        <f t="shared" si="25"/>
        <v>975005951</v>
      </c>
      <c r="BI16" s="210">
        <f t="shared" si="25"/>
        <v>2148459160</v>
      </c>
      <c r="BJ16" s="210">
        <f t="shared" si="25"/>
        <v>379560834</v>
      </c>
      <c r="BK16" s="210">
        <f t="shared" si="25"/>
        <v>777802000</v>
      </c>
      <c r="BL16" s="210">
        <f t="shared" si="25"/>
        <v>166385609</v>
      </c>
      <c r="BM16" s="210">
        <f t="shared" si="25"/>
        <v>157455615</v>
      </c>
      <c r="BN16" s="210">
        <f t="shared" si="25"/>
        <v>2045823091</v>
      </c>
      <c r="BO16" s="210">
        <f t="shared" si="25"/>
        <v>2265774048</v>
      </c>
      <c r="BP16" s="210">
        <f t="shared" si="25"/>
        <v>2164273858</v>
      </c>
      <c r="BQ16" s="210">
        <f t="shared" si="25"/>
        <v>3269267413</v>
      </c>
      <c r="BR16" s="210">
        <f t="shared" si="25"/>
        <v>37882317</v>
      </c>
      <c r="BS16" s="210">
        <f t="shared" si="25"/>
        <v>32554973</v>
      </c>
      <c r="BT16" s="210">
        <f t="shared" ref="BT16:BU16" si="26">+BT14+BT15</f>
        <v>1065416000</v>
      </c>
      <c r="BU16" s="210">
        <f t="shared" si="26"/>
        <v>1081579000</v>
      </c>
      <c r="BV16" s="210">
        <f t="shared" si="23"/>
        <v>374876752660</v>
      </c>
      <c r="BW16" s="210">
        <f t="shared" si="23"/>
        <v>268446427317</v>
      </c>
    </row>
    <row r="17" spans="1:75" x14ac:dyDescent="0.2">
      <c r="A17" s="218" t="s">
        <v>48</v>
      </c>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row>
    <row r="18" spans="1:75" x14ac:dyDescent="0.2">
      <c r="A18" s="214" t="s">
        <v>94</v>
      </c>
      <c r="B18" s="213">
        <v>332000000</v>
      </c>
      <c r="C18" s="213">
        <v>332000000</v>
      </c>
      <c r="D18" s="213">
        <v>1789000000</v>
      </c>
      <c r="E18" s="213">
        <v>1789000000</v>
      </c>
      <c r="F18" s="213"/>
      <c r="G18" s="213">
        <f>543000000+34200000+22800000</f>
        <v>600000000</v>
      </c>
      <c r="H18" s="213">
        <v>455480000</v>
      </c>
      <c r="I18" s="213">
        <v>455480000</v>
      </c>
      <c r="J18" s="213">
        <v>210000000</v>
      </c>
      <c r="K18" s="213">
        <v>210000000</v>
      </c>
      <c r="L18" s="213"/>
      <c r="M18" s="213"/>
      <c r="N18" s="213">
        <v>300000000</v>
      </c>
      <c r="O18" s="213">
        <v>300000000</v>
      </c>
      <c r="P18" s="213">
        <v>800000000</v>
      </c>
      <c r="Q18" s="213">
        <v>800000000</v>
      </c>
      <c r="R18" s="213">
        <v>1300000000</v>
      </c>
      <c r="S18" s="213">
        <v>1300000000</v>
      </c>
      <c r="T18" s="213">
        <v>500000000</v>
      </c>
      <c r="U18" s="213">
        <v>500000000</v>
      </c>
      <c r="V18" s="213">
        <v>150000000</v>
      </c>
      <c r="W18" s="213">
        <v>150000000</v>
      </c>
      <c r="X18" s="213">
        <v>382816000</v>
      </c>
      <c r="Y18" s="213">
        <v>382816000</v>
      </c>
      <c r="Z18" s="213"/>
      <c r="AA18" s="213">
        <v>10000000</v>
      </c>
      <c r="AB18" s="213"/>
      <c r="AC18" s="213">
        <v>95500000</v>
      </c>
      <c r="AD18" s="213">
        <v>35057662659</v>
      </c>
      <c r="AE18" s="213">
        <v>35057662659</v>
      </c>
      <c r="AF18" s="213">
        <v>453360000</v>
      </c>
      <c r="AG18" s="213">
        <v>453360000</v>
      </c>
      <c r="AH18" s="213">
        <v>215735791</v>
      </c>
      <c r="AI18" s="213">
        <v>215735791</v>
      </c>
      <c r="AJ18" s="213">
        <v>465005</v>
      </c>
      <c r="AK18" s="213">
        <v>465005</v>
      </c>
      <c r="AL18" s="213">
        <v>500000000</v>
      </c>
      <c r="AM18" s="213">
        <v>500000000</v>
      </c>
      <c r="AN18" s="213">
        <v>560000000</v>
      </c>
      <c r="AO18" s="213">
        <v>560000000</v>
      </c>
      <c r="AP18" s="213">
        <v>500000</v>
      </c>
      <c r="AQ18" s="213">
        <v>500000</v>
      </c>
      <c r="AR18" s="213">
        <v>1040000000</v>
      </c>
      <c r="AS18" s="213">
        <v>1040000000</v>
      </c>
      <c r="AT18" s="213">
        <v>6000000</v>
      </c>
      <c r="AU18" s="213">
        <v>6000000</v>
      </c>
      <c r="AV18" s="213">
        <v>617550000</v>
      </c>
      <c r="AW18" s="213">
        <v>617550000</v>
      </c>
      <c r="AX18" s="213">
        <v>80000000</v>
      </c>
      <c r="AY18" s="213">
        <v>80000000</v>
      </c>
      <c r="AZ18" s="213">
        <v>900000000</v>
      </c>
      <c r="BA18" s="213">
        <v>900000000</v>
      </c>
      <c r="BB18" s="213">
        <v>957023000</v>
      </c>
      <c r="BC18" s="213">
        <v>957023000</v>
      </c>
      <c r="BD18" s="213">
        <v>332000000</v>
      </c>
      <c r="BE18" s="213">
        <v>332000000</v>
      </c>
      <c r="BF18" s="213">
        <v>450000000</v>
      </c>
      <c r="BG18" s="213">
        <v>450000000</v>
      </c>
      <c r="BH18" s="213">
        <v>150000000</v>
      </c>
      <c r="BI18" s="213">
        <v>150000000</v>
      </c>
      <c r="BJ18" s="213">
        <v>500000000</v>
      </c>
      <c r="BK18" s="213">
        <v>500000000</v>
      </c>
      <c r="BL18" s="213">
        <v>338646000</v>
      </c>
      <c r="BM18" s="213">
        <v>338646000</v>
      </c>
      <c r="BN18" s="213">
        <v>687552119</v>
      </c>
      <c r="BO18" s="213">
        <v>687552119</v>
      </c>
      <c r="BP18" s="213">
        <v>752000000</v>
      </c>
      <c r="BQ18" s="213">
        <v>752000000</v>
      </c>
      <c r="BR18" s="213">
        <v>800000000</v>
      </c>
      <c r="BS18" s="213">
        <v>800000000</v>
      </c>
      <c r="BT18" s="213">
        <v>328000000</v>
      </c>
      <c r="BU18" s="213">
        <v>328000000</v>
      </c>
      <c r="BV18" s="209">
        <f t="shared" ref="BV18:BV31" si="27">+B18+D18+F18++H18+J18+L18+N18+P18+R18+T18+V18+X18+Z18+AB18+AD18+AF18+AH18+AJ18+AL18+AN18+AP18+AR18+AT18+AV18+AX18+AZ18+BB18+BD18+BF18+BH18+BJ18+BL18+BN18+BP18+BR18+BT18</f>
        <v>50945790574</v>
      </c>
      <c r="BW18" s="209">
        <f t="shared" ref="BW18:BW31" si="28">+C18+E18+G18++I18+K18+M18+O18+Q18+S18+U18+W18+Y18+AA18+AC18+AE18+AG18+AI18+AK18+AM18+AO18+AQ18+AS18+AU18+AW18+AY18+BA18+BC18+BE18+BG18+BI18+BK18+BM18+BO18+BQ18+BS18+BU18</f>
        <v>51651290574</v>
      </c>
    </row>
    <row r="19" spans="1:75" x14ac:dyDescent="0.2">
      <c r="A19" s="214" t="s">
        <v>182</v>
      </c>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c r="BT19" s="213"/>
      <c r="BU19" s="213"/>
      <c r="BV19" s="209">
        <f t="shared" si="27"/>
        <v>0</v>
      </c>
      <c r="BW19" s="209">
        <f t="shared" si="28"/>
        <v>0</v>
      </c>
    </row>
    <row r="20" spans="1:75" x14ac:dyDescent="0.2">
      <c r="A20" s="214" t="s">
        <v>181</v>
      </c>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09">
        <f t="shared" si="27"/>
        <v>0</v>
      </c>
      <c r="BW20" s="209">
        <f t="shared" si="28"/>
        <v>0</v>
      </c>
    </row>
    <row r="21" spans="1:75" s="216" customFormat="1" x14ac:dyDescent="0.2">
      <c r="A21" s="214" t="s">
        <v>50</v>
      </c>
      <c r="B21" s="213">
        <v>12951607</v>
      </c>
      <c r="C21" s="213">
        <v>12951607</v>
      </c>
      <c r="D21" s="213">
        <v>4459794</v>
      </c>
      <c r="E21" s="213">
        <v>4459794</v>
      </c>
      <c r="F21" s="213"/>
      <c r="G21" s="213"/>
      <c r="H21" s="213">
        <v>6189403</v>
      </c>
      <c r="I21" s="213">
        <v>6400653</v>
      </c>
      <c r="J21" s="213">
        <v>1708627</v>
      </c>
      <c r="K21" s="213">
        <v>11919149</v>
      </c>
      <c r="L21" s="213"/>
      <c r="M21" s="213"/>
      <c r="N21" s="213"/>
      <c r="O21" s="213"/>
      <c r="P21" s="213"/>
      <c r="Q21" s="213"/>
      <c r="R21" s="213">
        <v>101097804</v>
      </c>
      <c r="S21" s="213">
        <v>101097804</v>
      </c>
      <c r="T21" s="213">
        <v>43675067</v>
      </c>
      <c r="U21" s="213">
        <v>56039690</v>
      </c>
      <c r="V21" s="213">
        <v>1467440</v>
      </c>
      <c r="W21" s="213">
        <v>2970564</v>
      </c>
      <c r="X21" s="213"/>
      <c r="Y21" s="213"/>
      <c r="Z21" s="213"/>
      <c r="AA21" s="213"/>
      <c r="AB21" s="213"/>
      <c r="AC21" s="213"/>
      <c r="AD21" s="213">
        <v>50996938132</v>
      </c>
      <c r="AE21" s="213">
        <v>61385984591</v>
      </c>
      <c r="AF21" s="213">
        <v>2145476</v>
      </c>
      <c r="AG21" s="213">
        <v>2145476</v>
      </c>
      <c r="AH21" s="213">
        <v>40446360</v>
      </c>
      <c r="AI21" s="213">
        <v>46736645</v>
      </c>
      <c r="AJ21" s="213">
        <v>504607</v>
      </c>
      <c r="AK21" s="213">
        <v>504607</v>
      </c>
      <c r="AL21" s="213"/>
      <c r="AM21" s="213"/>
      <c r="AN21" s="213">
        <v>3024566</v>
      </c>
      <c r="AO21" s="213">
        <v>3773601</v>
      </c>
      <c r="AP21" s="213">
        <v>197071278</v>
      </c>
      <c r="AQ21" s="213">
        <v>197071278</v>
      </c>
      <c r="AR21" s="213">
        <v>156870852</v>
      </c>
      <c r="AS21" s="213">
        <v>156870853</v>
      </c>
      <c r="AT21" s="213"/>
      <c r="AU21" s="213"/>
      <c r="AV21" s="213"/>
      <c r="AW21" s="213"/>
      <c r="AX21" s="213">
        <v>11512927</v>
      </c>
      <c r="AY21" s="213">
        <v>13026927</v>
      </c>
      <c r="AZ21" s="213">
        <v>261863653</v>
      </c>
      <c r="BA21" s="213">
        <v>261863653</v>
      </c>
      <c r="BB21" s="213">
        <v>167855000</v>
      </c>
      <c r="BC21" s="213">
        <v>371000000</v>
      </c>
      <c r="BD21" s="213">
        <v>12951607</v>
      </c>
      <c r="BE21" s="213">
        <v>12951607</v>
      </c>
      <c r="BF21" s="213">
        <v>103937877</v>
      </c>
      <c r="BG21" s="213">
        <v>137772874</v>
      </c>
      <c r="BH21" s="213">
        <v>2623774</v>
      </c>
      <c r="BI21" s="213">
        <v>2623774</v>
      </c>
      <c r="BJ21" s="213"/>
      <c r="BK21" s="213"/>
      <c r="BL21" s="213">
        <v>36136298</v>
      </c>
      <c r="BM21" s="213">
        <v>36136298</v>
      </c>
      <c r="BN21" s="213"/>
      <c r="BO21" s="213"/>
      <c r="BP21" s="213">
        <v>172814530</v>
      </c>
      <c r="BQ21" s="213">
        <v>219533663</v>
      </c>
      <c r="BR21" s="213"/>
      <c r="BS21" s="213"/>
      <c r="BT21" s="213">
        <v>36526000</v>
      </c>
      <c r="BU21" s="213">
        <v>36526000</v>
      </c>
      <c r="BV21" s="209">
        <f t="shared" si="27"/>
        <v>52374772679</v>
      </c>
      <c r="BW21" s="209">
        <f t="shared" si="28"/>
        <v>63080361108</v>
      </c>
    </row>
    <row r="22" spans="1:75" s="216" customFormat="1" x14ac:dyDescent="0.2">
      <c r="A22" s="214" t="s">
        <v>95</v>
      </c>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09">
        <f t="shared" si="27"/>
        <v>0</v>
      </c>
      <c r="BW22" s="209">
        <f t="shared" si="28"/>
        <v>0</v>
      </c>
    </row>
    <row r="23" spans="1:75" x14ac:dyDescent="0.2">
      <c r="A23" s="214" t="s">
        <v>51</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13"/>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f t="shared" si="27"/>
        <v>0</v>
      </c>
      <c r="BW23" s="209">
        <f t="shared" si="28"/>
        <v>0</v>
      </c>
    </row>
    <row r="24" spans="1:75" s="216" customFormat="1" x14ac:dyDescent="0.2">
      <c r="A24" s="214" t="s">
        <v>52</v>
      </c>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v>139</v>
      </c>
      <c r="AK24" s="209">
        <v>139</v>
      </c>
      <c r="AL24" s="209"/>
      <c r="AM24" s="209"/>
      <c r="AN24" s="209"/>
      <c r="AO24" s="209"/>
      <c r="AP24" s="209"/>
      <c r="AQ24" s="209"/>
      <c r="AR24" s="209"/>
      <c r="AS24" s="209"/>
      <c r="AT24" s="209"/>
      <c r="AU24" s="209"/>
      <c r="AV24" s="209">
        <v>1060092000</v>
      </c>
      <c r="AW24" s="209">
        <v>1060092000</v>
      </c>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f t="shared" si="27"/>
        <v>1060092139</v>
      </c>
      <c r="BW24" s="209">
        <f t="shared" si="28"/>
        <v>1060092139</v>
      </c>
    </row>
    <row r="25" spans="1:75" s="216" customFormat="1" x14ac:dyDescent="0.2">
      <c r="A25" s="214" t="s">
        <v>53</v>
      </c>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09">
        <v>195080000</v>
      </c>
      <c r="AQ25" s="209">
        <v>195080000</v>
      </c>
      <c r="AR25" s="209"/>
      <c r="AS25" s="209"/>
      <c r="AT25" s="209"/>
      <c r="AU25" s="209"/>
      <c r="AV25" s="209"/>
      <c r="AW25" s="209"/>
      <c r="AX25" s="211"/>
      <c r="AY25" s="211"/>
      <c r="AZ25" s="211"/>
      <c r="BA25" s="211"/>
      <c r="BB25" s="209"/>
      <c r="BC25" s="209"/>
      <c r="BD25" s="209"/>
      <c r="BE25" s="209"/>
      <c r="BF25" s="211"/>
      <c r="BG25" s="211"/>
      <c r="BH25" s="211"/>
      <c r="BI25" s="211"/>
      <c r="BJ25" s="211"/>
      <c r="BK25" s="211"/>
      <c r="BL25" s="211"/>
      <c r="BM25" s="211"/>
      <c r="BN25" s="211"/>
      <c r="BO25" s="211"/>
      <c r="BP25" s="211">
        <v>1379352000</v>
      </c>
      <c r="BQ25" s="211">
        <v>1379352000</v>
      </c>
      <c r="BR25" s="211"/>
      <c r="BS25" s="211"/>
      <c r="BT25" s="211">
        <v>309187000</v>
      </c>
      <c r="BU25" s="211">
        <v>309187000</v>
      </c>
      <c r="BV25" s="209">
        <f t="shared" si="27"/>
        <v>1883619000</v>
      </c>
      <c r="BW25" s="209">
        <f t="shared" si="28"/>
        <v>1883619000</v>
      </c>
    </row>
    <row r="26" spans="1:75" x14ac:dyDescent="0.2">
      <c r="A26" s="214" t="s">
        <v>54</v>
      </c>
      <c r="B26" s="213">
        <v>-78091440</v>
      </c>
      <c r="C26" s="213">
        <v>-138611642</v>
      </c>
      <c r="D26" s="213">
        <v>1602435</v>
      </c>
      <c r="E26" s="213">
        <v>-65860181</v>
      </c>
      <c r="F26" s="213"/>
      <c r="G26" s="213">
        <v>63994000</v>
      </c>
      <c r="H26" s="213">
        <v>1283776</v>
      </c>
      <c r="I26" s="213">
        <v>1901250</v>
      </c>
      <c r="J26" s="213">
        <v>87315789</v>
      </c>
      <c r="K26" s="213">
        <v>142028414</v>
      </c>
      <c r="L26" s="213"/>
      <c r="M26" s="213"/>
      <c r="N26" s="213">
        <v>425527079</v>
      </c>
      <c r="O26" s="213">
        <v>6104390</v>
      </c>
      <c r="P26" s="213">
        <v>922060582</v>
      </c>
      <c r="Q26" s="213">
        <v>807360613</v>
      </c>
      <c r="R26" s="209">
        <v>1130917414</v>
      </c>
      <c r="S26" s="213">
        <v>1199000874</v>
      </c>
      <c r="T26" s="209">
        <v>123646254</v>
      </c>
      <c r="U26" s="213">
        <v>72069568</v>
      </c>
      <c r="V26" s="213">
        <v>13206960</v>
      </c>
      <c r="W26" s="213">
        <v>9848271</v>
      </c>
      <c r="X26" s="213">
        <v>-1143037</v>
      </c>
      <c r="Y26" s="213">
        <v>1187511</v>
      </c>
      <c r="Z26" s="213"/>
      <c r="AA26" s="213"/>
      <c r="AB26" s="213"/>
      <c r="AC26" s="213">
        <v>-1627178</v>
      </c>
      <c r="AD26" s="209"/>
      <c r="AE26" s="209"/>
      <c r="AF26" s="213">
        <v>257243282</v>
      </c>
      <c r="AG26" s="213">
        <v>-32726730</v>
      </c>
      <c r="AH26" s="209">
        <v>112629538</v>
      </c>
      <c r="AI26" s="213">
        <v>57985691</v>
      </c>
      <c r="AJ26" s="213"/>
      <c r="AK26" s="213"/>
      <c r="AL26" s="213">
        <v>54583035</v>
      </c>
      <c r="AM26" s="213">
        <v>35126788</v>
      </c>
      <c r="AN26" s="213">
        <v>7091755</v>
      </c>
      <c r="AO26" s="213">
        <v>6741317</v>
      </c>
      <c r="AP26" s="213">
        <v>141006903</v>
      </c>
      <c r="AQ26" s="213">
        <v>-278428356</v>
      </c>
      <c r="AR26" s="213"/>
      <c r="AS26" s="213"/>
      <c r="AT26" s="213">
        <v>-475816</v>
      </c>
      <c r="AU26" s="213">
        <v>-98630530</v>
      </c>
      <c r="AV26" s="213">
        <v>3594918662</v>
      </c>
      <c r="AW26" s="213">
        <v>5675392382</v>
      </c>
      <c r="AX26" s="213">
        <v>23840046</v>
      </c>
      <c r="AY26" s="213">
        <v>-27563840</v>
      </c>
      <c r="AZ26" s="213">
        <v>45080228</v>
      </c>
      <c r="BA26" s="213">
        <v>61072972</v>
      </c>
      <c r="BB26" s="213">
        <v>2031453000</v>
      </c>
      <c r="BC26" s="213">
        <v>456387000</v>
      </c>
      <c r="BD26" s="213">
        <v>-78091440</v>
      </c>
      <c r="BE26" s="213">
        <v>-138611641</v>
      </c>
      <c r="BF26" s="213">
        <v>338349972</v>
      </c>
      <c r="BG26" s="213">
        <v>287790033</v>
      </c>
      <c r="BH26" s="213">
        <v>386073011</v>
      </c>
      <c r="BI26" s="213">
        <v>420265963</v>
      </c>
      <c r="BJ26" s="213">
        <v>2203160</v>
      </c>
      <c r="BK26" s="213">
        <v>-181827591</v>
      </c>
      <c r="BL26" s="213">
        <v>-85580469</v>
      </c>
      <c r="BM26" s="213">
        <v>-40543765</v>
      </c>
      <c r="BN26" s="213">
        <v>192136355</v>
      </c>
      <c r="BO26" s="213">
        <v>-464016526</v>
      </c>
      <c r="BP26" s="213">
        <v>467191334</v>
      </c>
      <c r="BQ26" s="213">
        <v>504290790</v>
      </c>
      <c r="BR26" s="213">
        <v>31041054</v>
      </c>
      <c r="BS26" s="213">
        <v>8814574</v>
      </c>
      <c r="BT26" s="213">
        <v>156307000</v>
      </c>
      <c r="BU26" s="213">
        <v>44518000</v>
      </c>
      <c r="BV26" s="209">
        <f t="shared" si="27"/>
        <v>10303326422</v>
      </c>
      <c r="BW26" s="209">
        <f t="shared" si="28"/>
        <v>8393432421</v>
      </c>
    </row>
    <row r="27" spans="1:75" x14ac:dyDescent="0.2">
      <c r="A27" s="214" t="s">
        <v>55</v>
      </c>
      <c r="B27" s="213">
        <v>-251227730</v>
      </c>
      <c r="C27" s="213">
        <v>-329319170</v>
      </c>
      <c r="D27" s="213">
        <v>-1021754311</v>
      </c>
      <c r="E27" s="213">
        <v>-1020151876</v>
      </c>
      <c r="F27" s="213"/>
      <c r="G27" s="213"/>
      <c r="H27" s="213">
        <v>5484210</v>
      </c>
      <c r="I27" s="213">
        <v>6767986</v>
      </c>
      <c r="J27" s="213">
        <v>30167075</v>
      </c>
      <c r="K27" s="213">
        <v>107272343</v>
      </c>
      <c r="L27" s="213">
        <v>65772984</v>
      </c>
      <c r="M27" s="213">
        <v>73480270</v>
      </c>
      <c r="N27" s="213">
        <v>97180291</v>
      </c>
      <c r="O27" s="213">
        <v>522707371</v>
      </c>
      <c r="P27" s="213">
        <v>168953743</v>
      </c>
      <c r="Q27" s="213">
        <v>1091014325</v>
      </c>
      <c r="R27" s="213">
        <v>6237886670</v>
      </c>
      <c r="S27" s="213">
        <v>7368804084</v>
      </c>
      <c r="T27" s="213">
        <v>355555805</v>
      </c>
      <c r="U27" s="213">
        <v>466837435</v>
      </c>
      <c r="V27" s="213">
        <v>35054000</v>
      </c>
      <c r="W27" s="213">
        <v>48260960</v>
      </c>
      <c r="X27" s="213">
        <v>-241651080</v>
      </c>
      <c r="Y27" s="213">
        <v>-242794117</v>
      </c>
      <c r="Z27" s="213"/>
      <c r="AA27" s="213">
        <v>20067904</v>
      </c>
      <c r="AB27" s="213"/>
      <c r="AC27" s="213">
        <v>-182875817</v>
      </c>
      <c r="AD27" s="213">
        <v>16230911324</v>
      </c>
      <c r="AE27" s="213">
        <v>15279594779</v>
      </c>
      <c r="AF27" s="213">
        <v>66294076</v>
      </c>
      <c r="AG27" s="213">
        <v>323537358</v>
      </c>
      <c r="AH27" s="213"/>
      <c r="AI27" s="213"/>
      <c r="AJ27" s="213">
        <v>28344056</v>
      </c>
      <c r="AK27" s="213">
        <v>23492319</v>
      </c>
      <c r="AL27" s="213">
        <v>-6524688</v>
      </c>
      <c r="AM27" s="213">
        <v>48058347</v>
      </c>
      <c r="AN27" s="213">
        <v>6174972</v>
      </c>
      <c r="AO27" s="213">
        <v>13266727</v>
      </c>
      <c r="AP27" s="213">
        <v>1237178531</v>
      </c>
      <c r="AQ27" s="213">
        <v>1354599776</v>
      </c>
      <c r="AR27" s="213">
        <v>3683258026</v>
      </c>
      <c r="AS27" s="213">
        <v>3852641056</v>
      </c>
      <c r="AT27" s="213">
        <v>-1269300</v>
      </c>
      <c r="AU27" s="213">
        <v>-1745116</v>
      </c>
      <c r="AV27" s="213">
        <f>8447604027+3453045326</f>
        <v>11900649353</v>
      </c>
      <c r="AW27" s="213">
        <v>8447604027</v>
      </c>
      <c r="AX27" s="213">
        <v>2388254</v>
      </c>
      <c r="AY27" s="213">
        <v>24714300</v>
      </c>
      <c r="AZ27" s="213">
        <v>236979431</v>
      </c>
      <c r="BA27" s="213">
        <v>282059659</v>
      </c>
      <c r="BB27" s="213">
        <v>-717480000</v>
      </c>
      <c r="BC27" s="213">
        <v>1110828000</v>
      </c>
      <c r="BD27" s="213">
        <v>-251227730</v>
      </c>
      <c r="BE27" s="213">
        <v>-329319170</v>
      </c>
      <c r="BF27" s="213">
        <v>819133317</v>
      </c>
      <c r="BG27" s="213">
        <v>1123648292</v>
      </c>
      <c r="BH27" s="213">
        <v>939772022</v>
      </c>
      <c r="BI27" s="213">
        <v>1325845033</v>
      </c>
      <c r="BJ27" s="213">
        <v>-249307499</v>
      </c>
      <c r="BK27" s="213">
        <v>-267963409</v>
      </c>
      <c r="BL27" s="213">
        <v>66305147</v>
      </c>
      <c r="BM27" s="213">
        <v>-19275322</v>
      </c>
      <c r="BN27" s="213">
        <v>2838502</v>
      </c>
      <c r="BO27" s="213">
        <v>194974857</v>
      </c>
      <c r="BP27" s="213">
        <v>1589792574</v>
      </c>
      <c r="BQ27" s="213">
        <v>1976615954</v>
      </c>
      <c r="BR27" s="213">
        <v>421728</v>
      </c>
      <c r="BS27" s="213">
        <v>31462782</v>
      </c>
      <c r="BT27" s="213">
        <v>273398000</v>
      </c>
      <c r="BU27" s="213">
        <v>429705000</v>
      </c>
      <c r="BV27" s="209">
        <f t="shared" si="27"/>
        <v>41339451753</v>
      </c>
      <c r="BW27" s="209">
        <f t="shared" si="28"/>
        <v>43154416947</v>
      </c>
    </row>
    <row r="28" spans="1:75" x14ac:dyDescent="0.2">
      <c r="A28" s="214" t="s">
        <v>56</v>
      </c>
      <c r="B28" s="213"/>
      <c r="C28" s="213"/>
      <c r="D28" s="213">
        <v>124388859</v>
      </c>
      <c r="E28" s="213">
        <v>124388859</v>
      </c>
      <c r="F28" s="213"/>
      <c r="G28" s="213"/>
      <c r="H28" s="213"/>
      <c r="I28" s="213"/>
      <c r="J28" s="213"/>
      <c r="K28" s="213"/>
      <c r="L28" s="213"/>
      <c r="M28" s="213"/>
      <c r="N28" s="213"/>
      <c r="O28" s="213"/>
      <c r="P28" s="213"/>
      <c r="Q28" s="213"/>
      <c r="R28" s="213">
        <v>681390640</v>
      </c>
      <c r="S28" s="213">
        <v>681390640</v>
      </c>
      <c r="T28" s="213"/>
      <c r="U28" s="213"/>
      <c r="V28" s="213">
        <v>329892000</v>
      </c>
      <c r="W28" s="213">
        <v>314246650</v>
      </c>
      <c r="X28" s="213"/>
      <c r="Y28" s="213"/>
      <c r="Z28" s="213"/>
      <c r="AA28" s="213"/>
      <c r="AB28" s="213"/>
      <c r="AC28" s="213"/>
      <c r="AD28" s="213">
        <v>10389046459</v>
      </c>
      <c r="AE28" s="213">
        <v>12889738504</v>
      </c>
      <c r="AF28" s="213">
        <v>-354790335</v>
      </c>
      <c r="AG28" s="213">
        <v>-354790335</v>
      </c>
      <c r="AH28" s="213"/>
      <c r="AI28" s="213"/>
      <c r="AJ28" s="213"/>
      <c r="AK28" s="213"/>
      <c r="AL28" s="213"/>
      <c r="AM28" s="213"/>
      <c r="AN28" s="213"/>
      <c r="AO28" s="213"/>
      <c r="AP28" s="213"/>
      <c r="AQ28" s="213"/>
      <c r="AR28" s="213">
        <v>169383030</v>
      </c>
      <c r="AS28" s="213">
        <v>442573032</v>
      </c>
      <c r="AT28" s="213"/>
      <c r="AU28" s="213"/>
      <c r="AV28" s="213">
        <v>1246275202</v>
      </c>
      <c r="AW28" s="213">
        <v>1246275202</v>
      </c>
      <c r="AX28" s="213">
        <v>79039111</v>
      </c>
      <c r="AY28" s="213">
        <v>79039111</v>
      </c>
      <c r="AZ28" s="213">
        <v>5433528087</v>
      </c>
      <c r="BA28" s="213">
        <v>4872265464</v>
      </c>
      <c r="BB28" s="213"/>
      <c r="BC28" s="213"/>
      <c r="BD28" s="213"/>
      <c r="BE28" s="213"/>
      <c r="BF28" s="213"/>
      <c r="BG28" s="213"/>
      <c r="BH28" s="213"/>
      <c r="BI28" s="213"/>
      <c r="BJ28" s="213"/>
      <c r="BK28" s="213"/>
      <c r="BL28" s="213"/>
      <c r="BM28" s="213"/>
      <c r="BN28" s="213"/>
      <c r="BO28" s="213"/>
      <c r="BP28" s="213"/>
      <c r="BQ28" s="213"/>
      <c r="BR28" s="213"/>
      <c r="BS28" s="213"/>
      <c r="BT28" s="213"/>
      <c r="BU28" s="213"/>
      <c r="BV28" s="209">
        <f t="shared" si="27"/>
        <v>18098153053</v>
      </c>
      <c r="BW28" s="209">
        <f t="shared" si="28"/>
        <v>20295127127</v>
      </c>
    </row>
    <row r="29" spans="1:75" x14ac:dyDescent="0.2">
      <c r="A29" s="214" t="s">
        <v>57</v>
      </c>
      <c r="B29" s="209"/>
      <c r="C29" s="209"/>
      <c r="D29" s="209"/>
      <c r="E29" s="209"/>
      <c r="F29" s="209"/>
      <c r="G29" s="209"/>
      <c r="H29" s="209"/>
      <c r="I29" s="209"/>
      <c r="J29" s="209"/>
      <c r="K29" s="209"/>
      <c r="L29" s="209"/>
      <c r="M29" s="209"/>
      <c r="N29" s="209">
        <v>346237827</v>
      </c>
      <c r="O29" s="209">
        <v>346237827</v>
      </c>
      <c r="P29" s="209"/>
      <c r="Q29" s="209"/>
      <c r="R29" s="209"/>
      <c r="S29" s="209"/>
      <c r="T29" s="209"/>
      <c r="U29" s="209"/>
      <c r="V29" s="209"/>
      <c r="W29" s="209"/>
      <c r="X29" s="209"/>
      <c r="Y29" s="209"/>
      <c r="Z29" s="209"/>
      <c r="AA29" s="209">
        <v>184932000</v>
      </c>
      <c r="AB29" s="209"/>
      <c r="AC29" s="209">
        <v>124849365</v>
      </c>
      <c r="AD29" s="209"/>
      <c r="AE29" s="209"/>
      <c r="AF29" s="209"/>
      <c r="AG29" s="209"/>
      <c r="AH29" s="209"/>
      <c r="AI29" s="209"/>
      <c r="AJ29" s="209"/>
      <c r="AK29" s="209"/>
      <c r="AL29" s="209"/>
      <c r="AM29" s="209"/>
      <c r="AN29" s="209"/>
      <c r="AO29" s="209"/>
      <c r="AP29" s="209"/>
      <c r="AQ29" s="209">
        <v>1000000000</v>
      </c>
      <c r="AR29" s="209"/>
      <c r="AS29" s="209"/>
      <c r="AT29" s="209"/>
      <c r="AU29" s="209"/>
      <c r="AV29" s="209">
        <v>4197511000</v>
      </c>
      <c r="AW29" s="209">
        <v>4197511000</v>
      </c>
      <c r="AX29" s="209"/>
      <c r="AY29" s="209"/>
      <c r="AZ29" s="209"/>
      <c r="BA29" s="209"/>
      <c r="BB29" s="209"/>
      <c r="BC29" s="209"/>
      <c r="BD29" s="209"/>
      <c r="BE29" s="209"/>
      <c r="BF29" s="209"/>
      <c r="BG29" s="209"/>
      <c r="BH29" s="213">
        <v>1636642347</v>
      </c>
      <c r="BI29" s="213">
        <v>1636642347</v>
      </c>
      <c r="BJ29" s="213"/>
      <c r="BK29" s="213"/>
      <c r="BL29" s="213"/>
      <c r="BM29" s="213"/>
      <c r="BN29" s="213"/>
      <c r="BO29" s="213"/>
      <c r="BP29" s="213">
        <v>1112906000</v>
      </c>
      <c r="BQ29" s="213">
        <v>1112906000</v>
      </c>
      <c r="BR29" s="213"/>
      <c r="BS29" s="213"/>
      <c r="BT29" s="213"/>
      <c r="BU29" s="213"/>
      <c r="BV29" s="209">
        <f t="shared" si="27"/>
        <v>7293297174</v>
      </c>
      <c r="BW29" s="209">
        <f t="shared" si="28"/>
        <v>8603078539</v>
      </c>
    </row>
    <row r="30" spans="1:75" x14ac:dyDescent="0.2">
      <c r="A30" s="214" t="s">
        <v>96</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v>2513531</v>
      </c>
      <c r="AE30" s="213">
        <v>-292931237</v>
      </c>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13"/>
      <c r="BV30" s="209">
        <f t="shared" si="27"/>
        <v>2513531</v>
      </c>
      <c r="BW30" s="209">
        <f t="shared" si="28"/>
        <v>-292931237</v>
      </c>
    </row>
    <row r="31" spans="1:75" x14ac:dyDescent="0.2">
      <c r="A31" s="214" t="s">
        <v>58</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v>-922111354</v>
      </c>
      <c r="AW31" s="209">
        <v>-6040330</v>
      </c>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f t="shared" si="27"/>
        <v>-922111354</v>
      </c>
      <c r="BW31" s="209">
        <f t="shared" si="28"/>
        <v>-6040330</v>
      </c>
    </row>
    <row r="32" spans="1:75" s="224" customFormat="1" x14ac:dyDescent="0.2">
      <c r="A32" s="223" t="s">
        <v>59</v>
      </c>
      <c r="B32" s="210">
        <f t="shared" ref="B32:W32" si="29">SUM(B18:B31)</f>
        <v>15632437</v>
      </c>
      <c r="C32" s="210">
        <f t="shared" si="29"/>
        <v>-122979205</v>
      </c>
      <c r="D32" s="210">
        <f t="shared" si="29"/>
        <v>897696777</v>
      </c>
      <c r="E32" s="210">
        <f t="shared" si="29"/>
        <v>831836596</v>
      </c>
      <c r="F32" s="210">
        <f t="shared" si="29"/>
        <v>0</v>
      </c>
      <c r="G32" s="210">
        <f t="shared" si="29"/>
        <v>663994000</v>
      </c>
      <c r="H32" s="210">
        <f t="shared" si="29"/>
        <v>468437389</v>
      </c>
      <c r="I32" s="210">
        <f t="shared" si="29"/>
        <v>470549889</v>
      </c>
      <c r="J32" s="210">
        <f t="shared" si="29"/>
        <v>329191491</v>
      </c>
      <c r="K32" s="210">
        <f t="shared" si="29"/>
        <v>471219906</v>
      </c>
      <c r="L32" s="210">
        <f t="shared" si="29"/>
        <v>65772984</v>
      </c>
      <c r="M32" s="210">
        <f t="shared" si="29"/>
        <v>73480270</v>
      </c>
      <c r="N32" s="210">
        <f t="shared" si="29"/>
        <v>1168945197</v>
      </c>
      <c r="O32" s="210">
        <f t="shared" si="29"/>
        <v>1175049588</v>
      </c>
      <c r="P32" s="210">
        <f t="shared" si="29"/>
        <v>1891014325</v>
      </c>
      <c r="Q32" s="210">
        <f t="shared" si="29"/>
        <v>2698374938</v>
      </c>
      <c r="R32" s="210">
        <f t="shared" si="29"/>
        <v>9451292528</v>
      </c>
      <c r="S32" s="210">
        <f t="shared" si="29"/>
        <v>10650293402</v>
      </c>
      <c r="T32" s="210">
        <f t="shared" si="29"/>
        <v>1022877126</v>
      </c>
      <c r="U32" s="210">
        <f t="shared" si="29"/>
        <v>1094946693</v>
      </c>
      <c r="V32" s="210">
        <f t="shared" si="29"/>
        <v>529620400</v>
      </c>
      <c r="W32" s="210">
        <f t="shared" si="29"/>
        <v>525326445</v>
      </c>
      <c r="X32" s="210">
        <f t="shared" ref="X32:Y32" si="30">SUM(X18:X31)</f>
        <v>140021883</v>
      </c>
      <c r="Y32" s="210">
        <f t="shared" si="30"/>
        <v>141209394</v>
      </c>
      <c r="Z32" s="210">
        <f t="shared" ref="Z32:AA32" si="31">SUM(Z18:Z31)</f>
        <v>0</v>
      </c>
      <c r="AA32" s="210">
        <f t="shared" si="31"/>
        <v>214999904</v>
      </c>
      <c r="AB32" s="210">
        <f t="shared" ref="AB32:AC32" si="32">SUM(AB18:AB31)</f>
        <v>0</v>
      </c>
      <c r="AC32" s="210">
        <f t="shared" si="32"/>
        <v>35846370</v>
      </c>
      <c r="AD32" s="210">
        <f t="shared" ref="AD32:AK32" si="33">SUM(AD18:AD31)</f>
        <v>112677072105</v>
      </c>
      <c r="AE32" s="210">
        <f t="shared" si="33"/>
        <v>124320049296</v>
      </c>
      <c r="AF32" s="210">
        <f t="shared" si="33"/>
        <v>424252499</v>
      </c>
      <c r="AG32" s="210">
        <f t="shared" si="33"/>
        <v>391525769</v>
      </c>
      <c r="AH32" s="210">
        <f t="shared" si="33"/>
        <v>368811689</v>
      </c>
      <c r="AI32" s="210">
        <f t="shared" si="33"/>
        <v>320458127</v>
      </c>
      <c r="AJ32" s="210">
        <f t="shared" si="33"/>
        <v>29313807</v>
      </c>
      <c r="AK32" s="210">
        <f t="shared" si="33"/>
        <v>24462070</v>
      </c>
      <c r="AL32" s="210">
        <f t="shared" ref="AL32" si="34">SUM(AL18:AL31)</f>
        <v>548058347</v>
      </c>
      <c r="AM32" s="210">
        <f t="shared" ref="AM32" si="35">SUM(AM18:AM31)</f>
        <v>583185135</v>
      </c>
      <c r="AN32" s="210">
        <f t="shared" ref="AN32" si="36">SUM(AN18:AN31)</f>
        <v>576291293</v>
      </c>
      <c r="AO32" s="210">
        <f t="shared" ref="AO32" si="37">SUM(AO18:AO31)</f>
        <v>583781645</v>
      </c>
      <c r="AP32" s="210">
        <f t="shared" ref="AP32" si="38">SUM(AP18:AP31)</f>
        <v>1770836712</v>
      </c>
      <c r="AQ32" s="210">
        <f t="shared" ref="AQ32" si="39">SUM(AQ18:AQ31)</f>
        <v>2468822698</v>
      </c>
      <c r="AR32" s="210">
        <f t="shared" ref="AR32:AT32" si="40">SUM(AR18:AR31)</f>
        <v>5049511908</v>
      </c>
      <c r="AS32" s="210">
        <f t="shared" ref="AS32:AV32" si="41">SUM(AS18:AS31)</f>
        <v>5492084941</v>
      </c>
      <c r="AT32" s="210">
        <f t="shared" si="40"/>
        <v>4254884</v>
      </c>
      <c r="AU32" s="210">
        <f t="shared" si="41"/>
        <v>-94375646</v>
      </c>
      <c r="AV32" s="210">
        <f t="shared" si="41"/>
        <v>21694884863</v>
      </c>
      <c r="AW32" s="210">
        <f t="shared" ref="AW32" si="42">SUM(AW18:AW31)</f>
        <v>21238384281</v>
      </c>
      <c r="AX32" s="210">
        <f>SUM(AX18:AX31)</f>
        <v>196780338</v>
      </c>
      <c r="AY32" s="210">
        <f>SUM(AY18:AY31)</f>
        <v>169216498</v>
      </c>
      <c r="AZ32" s="210">
        <f>SUM(AZ18:AZ31)</f>
        <v>6877451399</v>
      </c>
      <c r="BA32" s="210">
        <f>SUM(BA18:BA31)</f>
        <v>6377261748</v>
      </c>
      <c r="BB32" s="210">
        <f t="shared" ref="BB32" si="43">SUM(BB18:BB31)</f>
        <v>2438851000</v>
      </c>
      <c r="BC32" s="210">
        <f t="shared" ref="BC32:BD32" si="44">SUM(BC18:BC31)</f>
        <v>2895238000</v>
      </c>
      <c r="BD32" s="210">
        <f t="shared" si="44"/>
        <v>15632437</v>
      </c>
      <c r="BE32" s="210">
        <f t="shared" ref="BE32" si="45">SUM(BE18:BE31)</f>
        <v>-122979204</v>
      </c>
      <c r="BF32" s="210">
        <f t="shared" ref="BF32:BW32" si="46">SUM(BF18:BF31)</f>
        <v>1711421166</v>
      </c>
      <c r="BG32" s="210">
        <f t="shared" si="46"/>
        <v>1999211199</v>
      </c>
      <c r="BH32" s="210">
        <f t="shared" si="46"/>
        <v>3115111154</v>
      </c>
      <c r="BI32" s="210">
        <f t="shared" si="46"/>
        <v>3535377117</v>
      </c>
      <c r="BJ32" s="210">
        <f t="shared" ref="BJ32:BK32" si="47">SUM(BJ18:BJ31)</f>
        <v>252895661</v>
      </c>
      <c r="BK32" s="210">
        <f t="shared" si="47"/>
        <v>50209000</v>
      </c>
      <c r="BL32" s="210">
        <f t="shared" ref="BL32:BM32" si="48">SUM(BL18:BL31)</f>
        <v>355506976</v>
      </c>
      <c r="BM32" s="210">
        <f t="shared" si="48"/>
        <v>314963211</v>
      </c>
      <c r="BN32" s="210">
        <f t="shared" ref="BN32:BO32" si="49">SUM(BN18:BN31)</f>
        <v>882526976</v>
      </c>
      <c r="BO32" s="210">
        <f t="shared" si="49"/>
        <v>418510450</v>
      </c>
      <c r="BP32" s="210">
        <f t="shared" ref="BP32:BQ32" si="50">SUM(BP18:BP31)</f>
        <v>5474056438</v>
      </c>
      <c r="BQ32" s="210">
        <f t="shared" si="50"/>
        <v>5944698407</v>
      </c>
      <c r="BR32" s="210">
        <f t="shared" ref="BR32:BS32" si="51">SUM(BR18:BR31)</f>
        <v>831462782</v>
      </c>
      <c r="BS32" s="210">
        <f t="shared" si="51"/>
        <v>840277356</v>
      </c>
      <c r="BT32" s="210">
        <f t="shared" ref="BT32:BU32" si="52">SUM(BT18:BT31)</f>
        <v>1103418000</v>
      </c>
      <c r="BU32" s="210">
        <f t="shared" si="52"/>
        <v>1147936000</v>
      </c>
      <c r="BV32" s="210">
        <f t="shared" si="46"/>
        <v>182378904971</v>
      </c>
      <c r="BW32" s="210">
        <f t="shared" si="46"/>
        <v>197822446288</v>
      </c>
    </row>
    <row r="33" spans="1:75" s="224" customFormat="1" x14ac:dyDescent="0.2">
      <c r="A33" s="223" t="s">
        <v>60</v>
      </c>
      <c r="B33" s="210">
        <f t="shared" ref="B33:BW33" si="53">+B16+B32</f>
        <v>120318280</v>
      </c>
      <c r="C33" s="210">
        <f t="shared" si="53"/>
        <v>96002440</v>
      </c>
      <c r="D33" s="210">
        <f t="shared" si="53"/>
        <v>1171074947</v>
      </c>
      <c r="E33" s="210">
        <f t="shared" si="53"/>
        <v>1186282495</v>
      </c>
      <c r="F33" s="210">
        <f t="shared" si="53"/>
        <v>0</v>
      </c>
      <c r="G33" s="210">
        <f t="shared" si="53"/>
        <v>1182079000</v>
      </c>
      <c r="H33" s="210">
        <f t="shared" si="53"/>
        <v>478397714</v>
      </c>
      <c r="I33" s="210">
        <f t="shared" si="53"/>
        <v>474741886</v>
      </c>
      <c r="J33" s="210">
        <f t="shared" si="53"/>
        <v>1646089418</v>
      </c>
      <c r="K33" s="210">
        <f t="shared" si="53"/>
        <v>1681128897</v>
      </c>
      <c r="L33" s="210">
        <f t="shared" si="53"/>
        <v>81084999</v>
      </c>
      <c r="M33" s="210">
        <f t="shared" si="53"/>
        <v>82894118</v>
      </c>
      <c r="N33" s="210">
        <f t="shared" si="53"/>
        <v>4015003485</v>
      </c>
      <c r="O33" s="210">
        <f t="shared" si="53"/>
        <v>3275195856</v>
      </c>
      <c r="P33" s="210">
        <f t="shared" si="53"/>
        <v>6596405838</v>
      </c>
      <c r="Q33" s="210">
        <f t="shared" si="53"/>
        <v>9873007976</v>
      </c>
      <c r="R33" s="210">
        <f t="shared" si="53"/>
        <v>13917739040</v>
      </c>
      <c r="S33" s="210">
        <f t="shared" si="53"/>
        <v>15849975539</v>
      </c>
      <c r="T33" s="210">
        <f t="shared" si="53"/>
        <v>1150315338</v>
      </c>
      <c r="U33" s="210">
        <f t="shared" si="53"/>
        <v>1288217811</v>
      </c>
      <c r="V33" s="210">
        <f t="shared" si="53"/>
        <v>537522000</v>
      </c>
      <c r="W33" s="210">
        <f t="shared" si="53"/>
        <v>530744245</v>
      </c>
      <c r="X33" s="210">
        <f t="shared" ref="X33:Y33" si="54">+X16+X32</f>
        <v>165847371</v>
      </c>
      <c r="Y33" s="210">
        <f t="shared" si="54"/>
        <v>192199829</v>
      </c>
      <c r="Z33" s="210">
        <f t="shared" ref="Z33:AA33" si="55">+Z16+Z32</f>
        <v>0</v>
      </c>
      <c r="AA33" s="210">
        <f t="shared" si="55"/>
        <v>214999904</v>
      </c>
      <c r="AB33" s="210">
        <f t="shared" ref="AB33:AC33" si="56">+AB16+AB32</f>
        <v>0</v>
      </c>
      <c r="AC33" s="210">
        <f t="shared" si="56"/>
        <v>698328782</v>
      </c>
      <c r="AD33" s="210">
        <f t="shared" ref="AD33:AK33" si="57">+AD16+AD32</f>
        <v>416153365033</v>
      </c>
      <c r="AE33" s="210">
        <f t="shared" si="57"/>
        <v>321234525160</v>
      </c>
      <c r="AF33" s="210">
        <f t="shared" si="57"/>
        <v>907264945</v>
      </c>
      <c r="AG33" s="210">
        <f t="shared" si="57"/>
        <v>633660519</v>
      </c>
      <c r="AH33" s="210">
        <f t="shared" si="57"/>
        <v>374626189</v>
      </c>
      <c r="AI33" s="210">
        <f t="shared" si="57"/>
        <v>330290127</v>
      </c>
      <c r="AJ33" s="210">
        <f t="shared" si="57"/>
        <v>64546099</v>
      </c>
      <c r="AK33" s="210">
        <f t="shared" si="57"/>
        <v>66866012</v>
      </c>
      <c r="AL33" s="210">
        <f t="shared" ref="AL33" si="58">+AL16+AL32</f>
        <v>3491305708</v>
      </c>
      <c r="AM33" s="210">
        <f t="shared" ref="AM33" si="59">+AM16+AM32</f>
        <v>3250476329</v>
      </c>
      <c r="AN33" s="210">
        <f t="shared" ref="AN33" si="60">+AN16+AN32</f>
        <v>598823432</v>
      </c>
      <c r="AO33" s="210">
        <f t="shared" ref="AO33" si="61">+AO16+AO32</f>
        <v>610968180</v>
      </c>
      <c r="AP33" s="210">
        <f t="shared" ref="AP33" si="62">+AP16+AP32</f>
        <v>2346667426</v>
      </c>
      <c r="AQ33" s="210">
        <f t="shared" ref="AQ33" si="63">+AQ16+AQ32</f>
        <v>3113043345</v>
      </c>
      <c r="AR33" s="210">
        <f t="shared" ref="AR33:AT33" si="64">+AR16+AR32</f>
        <v>5342557118</v>
      </c>
      <c r="AS33" s="210">
        <f t="shared" ref="AS33:AV33" si="65">+AS16+AS32</f>
        <v>6004068946</v>
      </c>
      <c r="AT33" s="210">
        <f t="shared" si="64"/>
        <v>50380880</v>
      </c>
      <c r="AU33" s="210">
        <f t="shared" si="65"/>
        <v>94227538</v>
      </c>
      <c r="AV33" s="210">
        <f t="shared" si="65"/>
        <v>59067262205</v>
      </c>
      <c r="AW33" s="210">
        <f t="shared" ref="AW33" si="66">+AW16+AW32</f>
        <v>51326546862</v>
      </c>
      <c r="AX33" s="210">
        <f>+AX16+AX32</f>
        <v>236255645</v>
      </c>
      <c r="AY33" s="210">
        <f>+AY16+AY32</f>
        <v>198759566</v>
      </c>
      <c r="AZ33" s="210">
        <f>+AZ16+AZ32</f>
        <v>10869956166</v>
      </c>
      <c r="BA33" s="210">
        <f>+BA16+BA32</f>
        <v>10376853455</v>
      </c>
      <c r="BB33" s="210">
        <f t="shared" ref="BB33" si="67">+BB16+BB32</f>
        <v>5864097000</v>
      </c>
      <c r="BC33" s="210">
        <f t="shared" ref="BC33:BD33" si="68">+BC16+BC32</f>
        <v>6564410000</v>
      </c>
      <c r="BD33" s="210">
        <f t="shared" si="68"/>
        <v>120318280</v>
      </c>
      <c r="BE33" s="210">
        <f t="shared" ref="BE33" si="69">+BE16+BE32</f>
        <v>96002441</v>
      </c>
      <c r="BF33" s="210">
        <f t="shared" ref="BF33:BM33" si="70">+BF16+BF32</f>
        <v>3039107428</v>
      </c>
      <c r="BG33" s="210">
        <f t="shared" si="70"/>
        <v>3757512597</v>
      </c>
      <c r="BH33" s="210">
        <f t="shared" si="70"/>
        <v>4090117105</v>
      </c>
      <c r="BI33" s="210">
        <f t="shared" si="70"/>
        <v>5683836277</v>
      </c>
      <c r="BJ33" s="210">
        <f t="shared" si="70"/>
        <v>632456495</v>
      </c>
      <c r="BK33" s="210">
        <f t="shared" si="70"/>
        <v>828011000</v>
      </c>
      <c r="BL33" s="210">
        <f t="shared" si="70"/>
        <v>521892585</v>
      </c>
      <c r="BM33" s="210">
        <f t="shared" si="70"/>
        <v>472418826</v>
      </c>
      <c r="BN33" s="210">
        <f t="shared" ref="BN33:BO33" si="71">+BN16+BN32</f>
        <v>2928350067</v>
      </c>
      <c r="BO33" s="210">
        <f t="shared" si="71"/>
        <v>2684284498</v>
      </c>
      <c r="BP33" s="210">
        <f t="shared" ref="BP33:BQ33" si="72">+BP16+BP32</f>
        <v>7638330296</v>
      </c>
      <c r="BQ33" s="210">
        <f t="shared" si="72"/>
        <v>9213965820</v>
      </c>
      <c r="BR33" s="210">
        <f t="shared" ref="BR33:BS33" si="73">+BR16+BR32</f>
        <v>869345099</v>
      </c>
      <c r="BS33" s="210">
        <f t="shared" si="73"/>
        <v>872832329</v>
      </c>
      <c r="BT33" s="210">
        <f t="shared" ref="BT33:BU33" si="74">+BT16+BT32</f>
        <v>2168834000</v>
      </c>
      <c r="BU33" s="210">
        <f t="shared" si="74"/>
        <v>2229515000</v>
      </c>
      <c r="BV33" s="210">
        <f t="shared" si="53"/>
        <v>557255657631</v>
      </c>
      <c r="BW33" s="210">
        <f t="shared" si="53"/>
        <v>466268873605</v>
      </c>
    </row>
    <row r="34" spans="1:75" s="224" customFormat="1" x14ac:dyDescent="0.2">
      <c r="A34" s="232"/>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row>
    <row r="35" spans="1:75" s="224" customFormat="1" ht="15" x14ac:dyDescent="0.2">
      <c r="A35" s="306" t="s">
        <v>242</v>
      </c>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row>
    <row r="36" spans="1:75" s="224" customFormat="1" x14ac:dyDescent="0.2">
      <c r="A36" s="216"/>
      <c r="B36" s="233"/>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row>
    <row r="37" spans="1:75" x14ac:dyDescent="0.2">
      <c r="A37" s="226" t="s">
        <v>61</v>
      </c>
      <c r="B37" s="213">
        <v>112296500</v>
      </c>
      <c r="C37" s="213">
        <v>137970000</v>
      </c>
      <c r="D37" s="213">
        <v>391033614</v>
      </c>
      <c r="E37" s="213">
        <v>539408466</v>
      </c>
      <c r="F37" s="213"/>
      <c r="G37" s="213">
        <v>908567000</v>
      </c>
      <c r="H37" s="213">
        <v>42326000</v>
      </c>
      <c r="I37" s="213">
        <v>33941429</v>
      </c>
      <c r="J37" s="213">
        <f>1210358129-4239433</f>
        <v>1206118696</v>
      </c>
      <c r="K37" s="213">
        <v>1355580487</v>
      </c>
      <c r="L37" s="213">
        <f>84500000-13000000</f>
        <v>71500000</v>
      </c>
      <c r="M37" s="213">
        <f>84500000-6500000</f>
        <v>78000000</v>
      </c>
      <c r="N37" s="213">
        <v>6081408218</v>
      </c>
      <c r="O37" s="213">
        <v>6480676377</v>
      </c>
      <c r="P37" s="213">
        <v>2665178850</v>
      </c>
      <c r="Q37" s="213">
        <v>7889347054</v>
      </c>
      <c r="R37" s="213">
        <v>9145805225</v>
      </c>
      <c r="S37" s="213">
        <v>12549864910</v>
      </c>
      <c r="T37" s="213">
        <v>1360087736</v>
      </c>
      <c r="U37" s="213">
        <v>1343308929</v>
      </c>
      <c r="V37" s="213">
        <v>238728000</v>
      </c>
      <c r="W37" s="213">
        <v>231847605</v>
      </c>
      <c r="X37" s="213">
        <v>179586701</v>
      </c>
      <c r="Y37" s="213">
        <v>170701031</v>
      </c>
      <c r="Z37" s="213"/>
      <c r="AA37" s="213"/>
      <c r="AB37" s="213"/>
      <c r="AC37" s="213">
        <v>25000000</v>
      </c>
      <c r="AD37" s="213">
        <v>122569302264</v>
      </c>
      <c r="AE37" s="213">
        <v>178643659217</v>
      </c>
      <c r="AF37" s="213">
        <v>1588123190</v>
      </c>
      <c r="AG37" s="213">
        <v>801875071</v>
      </c>
      <c r="AH37" s="213">
        <v>167058300</v>
      </c>
      <c r="AI37" s="213">
        <v>98343245</v>
      </c>
      <c r="AJ37" s="213">
        <v>159074840</v>
      </c>
      <c r="AK37" s="213">
        <v>141908564</v>
      </c>
      <c r="AL37" s="213">
        <v>762952503</v>
      </c>
      <c r="AM37" s="213">
        <v>1625977759</v>
      </c>
      <c r="AN37" s="213">
        <v>130800000</v>
      </c>
      <c r="AO37" s="213">
        <v>95859998</v>
      </c>
      <c r="AP37" s="213">
        <v>1378308963</v>
      </c>
      <c r="AQ37" s="213">
        <v>1069410530</v>
      </c>
      <c r="AR37" s="213">
        <v>2755652998</v>
      </c>
      <c r="AS37" s="213">
        <v>6014351687</v>
      </c>
      <c r="AT37" s="213"/>
      <c r="AU37" s="213">
        <v>67909610</v>
      </c>
      <c r="AV37" s="213">
        <v>45252900885</v>
      </c>
      <c r="AW37" s="213">
        <v>46392197090</v>
      </c>
      <c r="AX37" s="213">
        <v>207285000</v>
      </c>
      <c r="AY37" s="213">
        <v>155529000</v>
      </c>
      <c r="AZ37" s="213">
        <v>851635731</v>
      </c>
      <c r="BA37" s="213">
        <v>1272166667</v>
      </c>
      <c r="BB37" s="213">
        <v>12888494000</v>
      </c>
      <c r="BC37" s="213">
        <v>24741020000</v>
      </c>
      <c r="BD37" s="213">
        <v>112296500</v>
      </c>
      <c r="BE37" s="213">
        <v>137970000</v>
      </c>
      <c r="BF37" s="213">
        <v>5508475050</v>
      </c>
      <c r="BG37" s="213">
        <v>8263427913</v>
      </c>
      <c r="BH37" s="213">
        <v>6376206060</v>
      </c>
      <c r="BI37" s="213">
        <v>7298803642</v>
      </c>
      <c r="BJ37" s="213">
        <v>177840011</v>
      </c>
      <c r="BK37" s="213">
        <v>36760000</v>
      </c>
      <c r="BL37" s="213">
        <v>302098000</v>
      </c>
      <c r="BM37" s="213">
        <v>319592400</v>
      </c>
      <c r="BN37" s="213">
        <v>4322840766</v>
      </c>
      <c r="BO37" s="213">
        <v>4835410101</v>
      </c>
      <c r="BP37" s="213">
        <v>3842714203</v>
      </c>
      <c r="BQ37" s="213">
        <v>4244865876</v>
      </c>
      <c r="BR37" s="213">
        <v>132354640</v>
      </c>
      <c r="BS37" s="213">
        <v>99350000</v>
      </c>
      <c r="BT37" s="213">
        <v>2085509000</v>
      </c>
      <c r="BU37" s="213">
        <v>1411881000</v>
      </c>
      <c r="BV37" s="209">
        <f t="shared" ref="BV37:BV39" si="75">+B37+D37+F37++H37+J37+L37+N37+P37+R37+T37+V37+X37+Z37+AB37+AD37+AF37+AH37+AJ37+AL37+AN37+AP37+AR37+AT37+AV37+AX37+AZ37+BB37+BD37+BF37+BH37+BJ37+BL37+BN37+BP37+BR37+BT37</f>
        <v>233065992444</v>
      </c>
      <c r="BW37" s="209">
        <f t="shared" ref="BW37:BW39" si="76">+C37+E37+G37++I37+K37+M37+O37+Q37+S37+U37+W37+Y37+AA37+AC37+AE37+AG37+AI37+AK37+AM37+AO37+AQ37+AS37+AU37+AW37+AY37+BA37+BC37+BE37+BG37+BI37+BK37+BM37+BO37+BQ37+BS37+BU37</f>
        <v>319512482658</v>
      </c>
    </row>
    <row r="38" spans="1:75" x14ac:dyDescent="0.2">
      <c r="A38" s="226" t="s">
        <v>62</v>
      </c>
      <c r="B38" s="213"/>
      <c r="C38" s="213"/>
      <c r="D38" s="213">
        <v>321737609</v>
      </c>
      <c r="E38" s="213">
        <v>390195877</v>
      </c>
      <c r="F38" s="213"/>
      <c r="G38" s="213">
        <v>608661000</v>
      </c>
      <c r="H38" s="213"/>
      <c r="I38" s="213"/>
      <c r="J38" s="213">
        <v>795356632</v>
      </c>
      <c r="K38" s="213">
        <v>715831677</v>
      </c>
      <c r="L38" s="213">
        <v>45026273</v>
      </c>
      <c r="M38" s="213">
        <v>49364223</v>
      </c>
      <c r="N38" s="213">
        <v>3827931272</v>
      </c>
      <c r="O38" s="213">
        <v>4643039327</v>
      </c>
      <c r="P38" s="213">
        <v>1069787460</v>
      </c>
      <c r="Q38" s="213">
        <v>6437551484</v>
      </c>
      <c r="R38" s="213">
        <v>3658497242</v>
      </c>
      <c r="S38" s="213">
        <v>4009920863</v>
      </c>
      <c r="T38" s="213">
        <v>1095048698</v>
      </c>
      <c r="U38" s="213">
        <v>1097138397</v>
      </c>
      <c r="V38" s="213"/>
      <c r="W38" s="213"/>
      <c r="X38" s="213">
        <v>29105872</v>
      </c>
      <c r="Y38" s="213">
        <v>28297303</v>
      </c>
      <c r="Z38" s="213"/>
      <c r="AA38" s="213"/>
      <c r="AB38" s="213"/>
      <c r="AC38" s="213"/>
      <c r="AD38" s="213">
        <v>110759231553</v>
      </c>
      <c r="AE38" s="213">
        <v>145760900455</v>
      </c>
      <c r="AF38" s="213">
        <v>915060678</v>
      </c>
      <c r="AG38" s="213">
        <v>540417372</v>
      </c>
      <c r="AH38" s="213">
        <v>45002850</v>
      </c>
      <c r="AI38" s="213">
        <v>24585811</v>
      </c>
      <c r="AJ38" s="213">
        <v>120362500</v>
      </c>
      <c r="AK38" s="213">
        <v>112370487</v>
      </c>
      <c r="AL38" s="213"/>
      <c r="AM38" s="213">
        <v>486200850</v>
      </c>
      <c r="AN38" s="213">
        <v>50655245</v>
      </c>
      <c r="AO38" s="213">
        <v>2842298</v>
      </c>
      <c r="AP38" s="213">
        <v>120303658</v>
      </c>
      <c r="AQ38" s="213">
        <v>191613411</v>
      </c>
      <c r="AR38" s="213">
        <v>1612381000</v>
      </c>
      <c r="AS38" s="213">
        <v>2988684608</v>
      </c>
      <c r="AT38" s="213"/>
      <c r="AU38" s="213">
        <v>132378415</v>
      </c>
      <c r="AV38" s="213">
        <v>28750013956</v>
      </c>
      <c r="AW38" s="213">
        <v>37356063398</v>
      </c>
      <c r="AX38" s="213"/>
      <c r="AY38" s="213"/>
      <c r="AZ38" s="213">
        <v>227791</v>
      </c>
      <c r="BA38" s="213">
        <v>139749845</v>
      </c>
      <c r="BB38" s="213">
        <v>8829763000</v>
      </c>
      <c r="BC38" s="213">
        <v>22896273000</v>
      </c>
      <c r="BD38" s="213"/>
      <c r="BE38" s="213"/>
      <c r="BF38" s="213">
        <v>4641193762</v>
      </c>
      <c r="BG38" s="213">
        <v>6663976500</v>
      </c>
      <c r="BH38" s="213"/>
      <c r="BI38" s="213"/>
      <c r="BJ38" s="213"/>
      <c r="BK38" s="213"/>
      <c r="BL38" s="213">
        <v>130678810</v>
      </c>
      <c r="BM38" s="213">
        <v>44831522</v>
      </c>
      <c r="BN38" s="213">
        <v>2880120228</v>
      </c>
      <c r="BO38" s="213">
        <v>3747624466</v>
      </c>
      <c r="BP38" s="213">
        <v>2484795802</v>
      </c>
      <c r="BQ38" s="213">
        <v>2856667416</v>
      </c>
      <c r="BR38" s="213"/>
      <c r="BS38" s="213"/>
      <c r="BT38" s="213"/>
      <c r="BU38" s="213"/>
      <c r="BV38" s="209">
        <f t="shared" si="75"/>
        <v>172182281891</v>
      </c>
      <c r="BW38" s="209">
        <f t="shared" si="76"/>
        <v>241925180005</v>
      </c>
    </row>
    <row r="39" spans="1:75" x14ac:dyDescent="0.2">
      <c r="A39" s="214" t="s">
        <v>63</v>
      </c>
      <c r="B39" s="213">
        <v>165464349</v>
      </c>
      <c r="C39" s="213">
        <v>284830682</v>
      </c>
      <c r="D39" s="213">
        <v>57139375</v>
      </c>
      <c r="E39" s="213">
        <v>58834925</v>
      </c>
      <c r="F39" s="213"/>
      <c r="G39" s="213">
        <v>201454000</v>
      </c>
      <c r="H39" s="213">
        <v>40227757</v>
      </c>
      <c r="I39" s="213">
        <v>30691429</v>
      </c>
      <c r="J39" s="213">
        <v>261132636</v>
      </c>
      <c r="K39" s="213">
        <v>399245473</v>
      </c>
      <c r="L39" s="213"/>
      <c r="M39" s="213"/>
      <c r="N39" s="213">
        <f>986640281+744384</f>
        <v>987384665</v>
      </c>
      <c r="O39" s="213">
        <f>871932956+161919544</f>
        <v>1033852500</v>
      </c>
      <c r="P39" s="213">
        <v>3005327</v>
      </c>
      <c r="Q39" s="213">
        <v>7957221</v>
      </c>
      <c r="R39" s="213">
        <v>3519811942</v>
      </c>
      <c r="S39" s="213">
        <v>6266371152</v>
      </c>
      <c r="T39" s="213">
        <v>83931508</v>
      </c>
      <c r="U39" s="213">
        <v>164354634</v>
      </c>
      <c r="V39" s="213">
        <v>216152000</v>
      </c>
      <c r="W39" s="213">
        <v>216816361</v>
      </c>
      <c r="X39" s="213">
        <v>146791889</v>
      </c>
      <c r="Y39" s="213">
        <v>138073375</v>
      </c>
      <c r="Z39" s="213"/>
      <c r="AA39" s="213"/>
      <c r="AB39" s="213"/>
      <c r="AC39" s="213">
        <v>83575178</v>
      </c>
      <c r="AD39" s="213">
        <v>24853422884</v>
      </c>
      <c r="AE39" s="213">
        <v>30652545449</v>
      </c>
      <c r="AF39" s="213">
        <f>224118442+11939000</f>
        <v>236057442</v>
      </c>
      <c r="AG39" s="213">
        <f>271806507+6421000</f>
        <v>278227507</v>
      </c>
      <c r="AH39" s="213">
        <v>8421353</v>
      </c>
      <c r="AI39" s="213">
        <f>11327580+4444163</f>
        <v>15771743</v>
      </c>
      <c r="AJ39" s="213">
        <f>16229286+317376</f>
        <v>16546662</v>
      </c>
      <c r="AK39" s="213">
        <f>16541547+336149</f>
        <v>16877696</v>
      </c>
      <c r="AL39" s="213">
        <f>125964035+495885423</f>
        <v>621849458</v>
      </c>
      <c r="AM39" s="213">
        <f>175671893+845630733</f>
        <v>1021302626</v>
      </c>
      <c r="AN39" s="213">
        <v>67622599</v>
      </c>
      <c r="AO39" s="213">
        <v>80065605</v>
      </c>
      <c r="AP39" s="213">
        <v>828226014</v>
      </c>
      <c r="AQ39" s="213">
        <v>911535673</v>
      </c>
      <c r="AR39" s="213">
        <v>859620500</v>
      </c>
      <c r="AS39" s="213">
        <v>2352567498</v>
      </c>
      <c r="AT39" s="213"/>
      <c r="AU39" s="213">
        <v>30395066</v>
      </c>
      <c r="AV39" s="213">
        <v>5504819103</v>
      </c>
      <c r="AW39" s="213">
        <v>4959283279</v>
      </c>
      <c r="AX39" s="213">
        <v>158226244</v>
      </c>
      <c r="AY39" s="213">
        <v>182033663</v>
      </c>
      <c r="AZ39" s="213">
        <f>650130111+90171733</f>
        <v>740301844</v>
      </c>
      <c r="BA39" s="213">
        <f>1011359521+14430958</f>
        <v>1025790479</v>
      </c>
      <c r="BB39" s="213">
        <v>684639000</v>
      </c>
      <c r="BC39" s="213">
        <v>738089000</v>
      </c>
      <c r="BD39" s="213">
        <v>165464349</v>
      </c>
      <c r="BE39" s="213">
        <v>284830682</v>
      </c>
      <c r="BF39" s="213">
        <v>300220486</v>
      </c>
      <c r="BG39" s="213">
        <v>1241725633</v>
      </c>
      <c r="BH39" s="213">
        <v>5681825340</v>
      </c>
      <c r="BI39" s="213">
        <v>6527757222</v>
      </c>
      <c r="BJ39" s="213">
        <v>171196296</v>
      </c>
      <c r="BK39" s="213">
        <v>209883221</v>
      </c>
      <c r="BL39" s="213">
        <v>247982184</v>
      </c>
      <c r="BM39" s="213">
        <v>315309566</v>
      </c>
      <c r="BN39" s="213">
        <v>1104050208</v>
      </c>
      <c r="BO39" s="213">
        <v>1485236878</v>
      </c>
      <c r="BP39" s="213">
        <v>453315859</v>
      </c>
      <c r="BQ39" s="213">
        <v>566417303</v>
      </c>
      <c r="BR39" s="213">
        <v>85676363</v>
      </c>
      <c r="BS39" s="213">
        <v>86095001</v>
      </c>
      <c r="BT39" s="213">
        <v>1790623000</v>
      </c>
      <c r="BU39" s="213">
        <v>1211303000</v>
      </c>
      <c r="BV39" s="209">
        <f t="shared" si="75"/>
        <v>50061148636</v>
      </c>
      <c r="BW39" s="209">
        <f t="shared" si="76"/>
        <v>63079100720</v>
      </c>
    </row>
    <row r="40" spans="1:75" s="224" customFormat="1" x14ac:dyDescent="0.2">
      <c r="A40" s="223" t="s">
        <v>64</v>
      </c>
      <c r="B40" s="210">
        <f t="shared" ref="B40:BW40" si="77">+B37-B38-B39</f>
        <v>-53167849</v>
      </c>
      <c r="C40" s="210">
        <f t="shared" si="77"/>
        <v>-146860682</v>
      </c>
      <c r="D40" s="210">
        <f t="shared" si="77"/>
        <v>12156630</v>
      </c>
      <c r="E40" s="210">
        <f t="shared" si="77"/>
        <v>90377664</v>
      </c>
      <c r="F40" s="210">
        <f t="shared" si="77"/>
        <v>0</v>
      </c>
      <c r="G40" s="210">
        <f t="shared" si="77"/>
        <v>98452000</v>
      </c>
      <c r="H40" s="210">
        <f t="shared" si="77"/>
        <v>2098243</v>
      </c>
      <c r="I40" s="210">
        <f t="shared" si="77"/>
        <v>3250000</v>
      </c>
      <c r="J40" s="210">
        <f t="shared" si="77"/>
        <v>149629428</v>
      </c>
      <c r="K40" s="210">
        <f t="shared" si="77"/>
        <v>240503337</v>
      </c>
      <c r="L40" s="210">
        <f t="shared" si="77"/>
        <v>26473727</v>
      </c>
      <c r="M40" s="210">
        <f t="shared" si="77"/>
        <v>28635777</v>
      </c>
      <c r="N40" s="210">
        <f t="shared" si="77"/>
        <v>1266092281</v>
      </c>
      <c r="O40" s="210">
        <f t="shared" si="77"/>
        <v>803784550</v>
      </c>
      <c r="P40" s="210">
        <f t="shared" si="77"/>
        <v>1592386063</v>
      </c>
      <c r="Q40" s="210">
        <f t="shared" si="77"/>
        <v>1443838349</v>
      </c>
      <c r="R40" s="210">
        <f t="shared" si="77"/>
        <v>1967496041</v>
      </c>
      <c r="S40" s="210">
        <f t="shared" si="77"/>
        <v>2273572895</v>
      </c>
      <c r="T40" s="210">
        <f t="shared" si="77"/>
        <v>181107530</v>
      </c>
      <c r="U40" s="210">
        <f t="shared" si="77"/>
        <v>81815898</v>
      </c>
      <c r="V40" s="210">
        <f t="shared" si="77"/>
        <v>22576000</v>
      </c>
      <c r="W40" s="210">
        <f t="shared" si="77"/>
        <v>15031244</v>
      </c>
      <c r="X40" s="210">
        <f t="shared" ref="X40:Y40" si="78">+X37-X38-X39</f>
        <v>3688940</v>
      </c>
      <c r="Y40" s="210">
        <f t="shared" si="78"/>
        <v>4330353</v>
      </c>
      <c r="Z40" s="210">
        <f t="shared" ref="Z40:AA40" si="79">+Z37-Z38-Z39</f>
        <v>0</v>
      </c>
      <c r="AA40" s="210">
        <f t="shared" si="79"/>
        <v>0</v>
      </c>
      <c r="AB40" s="210">
        <f t="shared" ref="AB40:AC40" si="80">+AB37-AB38-AB39</f>
        <v>0</v>
      </c>
      <c r="AC40" s="210">
        <f t="shared" si="80"/>
        <v>-58575178</v>
      </c>
      <c r="AD40" s="210">
        <f t="shared" ref="AD40:AK40" si="81">+AD37-AD38-AD39</f>
        <v>-13043352173</v>
      </c>
      <c r="AE40" s="210">
        <f t="shared" si="81"/>
        <v>2230213313</v>
      </c>
      <c r="AF40" s="210">
        <f t="shared" si="81"/>
        <v>437005070</v>
      </c>
      <c r="AG40" s="210">
        <f t="shared" si="81"/>
        <v>-16769808</v>
      </c>
      <c r="AH40" s="210">
        <f t="shared" si="81"/>
        <v>113634097</v>
      </c>
      <c r="AI40" s="210">
        <f t="shared" si="81"/>
        <v>57985691</v>
      </c>
      <c r="AJ40" s="210">
        <f t="shared" si="81"/>
        <v>22165678</v>
      </c>
      <c r="AK40" s="210">
        <f t="shared" si="81"/>
        <v>12660381</v>
      </c>
      <c r="AL40" s="210">
        <f t="shared" ref="AL40" si="82">+AL37-AL38-AL39</f>
        <v>141103045</v>
      </c>
      <c r="AM40" s="210">
        <f t="shared" ref="AM40" si="83">+AM37-AM38-AM39</f>
        <v>118474283</v>
      </c>
      <c r="AN40" s="210">
        <f t="shared" ref="AN40" si="84">+AN37-AN38-AN39</f>
        <v>12522156</v>
      </c>
      <c r="AO40" s="210">
        <f t="shared" ref="AO40" si="85">+AO37-AO38-AO39</f>
        <v>12952095</v>
      </c>
      <c r="AP40" s="210">
        <f t="shared" ref="AP40" si="86">+AP37-AP38-AP39</f>
        <v>429779291</v>
      </c>
      <c r="AQ40" s="210">
        <f t="shared" ref="AQ40" si="87">+AQ37-AQ38-AQ39</f>
        <v>-33738554</v>
      </c>
      <c r="AR40" s="210">
        <f t="shared" ref="AR40:AT40" si="88">+AR37-AR38-AR39</f>
        <v>283651498</v>
      </c>
      <c r="AS40" s="210">
        <f t="shared" ref="AS40:AV40" si="89">+AS37-AS38-AS39</f>
        <v>673099581</v>
      </c>
      <c r="AT40" s="210">
        <f t="shared" si="88"/>
        <v>0</v>
      </c>
      <c r="AU40" s="210">
        <f t="shared" si="89"/>
        <v>-94863871</v>
      </c>
      <c r="AV40" s="210">
        <f t="shared" si="89"/>
        <v>10998067826</v>
      </c>
      <c r="AW40" s="210">
        <f t="shared" ref="AW40" si="90">+AW37-AW38-AW39</f>
        <v>4076850413</v>
      </c>
      <c r="AX40" s="210">
        <f>+AX37-AX38-AX39</f>
        <v>49058756</v>
      </c>
      <c r="AY40" s="210">
        <f>+AY37-AY38-AY39</f>
        <v>-26504663</v>
      </c>
      <c r="AZ40" s="210">
        <f>+AZ37-AZ38-AZ39</f>
        <v>111106096</v>
      </c>
      <c r="BA40" s="210">
        <f>+BA37-BA38-BA39</f>
        <v>106626343</v>
      </c>
      <c r="BB40" s="210">
        <f t="shared" ref="BB40" si="91">+BB37-BB38-BB39</f>
        <v>3374092000</v>
      </c>
      <c r="BC40" s="210">
        <f t="shared" ref="BC40:BD40" si="92">+BC37-BC38-BC39</f>
        <v>1106658000</v>
      </c>
      <c r="BD40" s="210">
        <f t="shared" si="92"/>
        <v>-53167849</v>
      </c>
      <c r="BE40" s="210">
        <f t="shared" ref="BE40" si="93">+BE37-BE38-BE39</f>
        <v>-146860682</v>
      </c>
      <c r="BF40" s="210">
        <f t="shared" ref="BF40:BS40" si="94">+BF37-BF38-BF39</f>
        <v>567060802</v>
      </c>
      <c r="BG40" s="210">
        <f t="shared" si="94"/>
        <v>357725780</v>
      </c>
      <c r="BH40" s="210">
        <f t="shared" si="94"/>
        <v>694380720</v>
      </c>
      <c r="BI40" s="210">
        <f t="shared" si="94"/>
        <v>771046420</v>
      </c>
      <c r="BJ40" s="210">
        <f t="shared" si="94"/>
        <v>6643715</v>
      </c>
      <c r="BK40" s="210">
        <f t="shared" si="94"/>
        <v>-173123221</v>
      </c>
      <c r="BL40" s="210">
        <f t="shared" si="94"/>
        <v>-76562994</v>
      </c>
      <c r="BM40" s="210">
        <f t="shared" si="94"/>
        <v>-40548688</v>
      </c>
      <c r="BN40" s="210">
        <f t="shared" si="94"/>
        <v>338670330</v>
      </c>
      <c r="BO40" s="210">
        <f t="shared" si="94"/>
        <v>-397451243</v>
      </c>
      <c r="BP40" s="210">
        <f t="shared" si="94"/>
        <v>904602542</v>
      </c>
      <c r="BQ40" s="210">
        <f t="shared" si="94"/>
        <v>821781157</v>
      </c>
      <c r="BR40" s="210">
        <f t="shared" si="94"/>
        <v>46678277</v>
      </c>
      <c r="BS40" s="210">
        <f t="shared" si="94"/>
        <v>13254999</v>
      </c>
      <c r="BT40" s="210">
        <f t="shared" ref="BT40:BU40" si="95">+BT37-BT38-BT39</f>
        <v>294886000</v>
      </c>
      <c r="BU40" s="210">
        <f t="shared" si="95"/>
        <v>200578000</v>
      </c>
      <c r="BV40" s="210">
        <f t="shared" si="77"/>
        <v>10822561917</v>
      </c>
      <c r="BW40" s="210">
        <f t="shared" si="77"/>
        <v>14508201933</v>
      </c>
    </row>
    <row r="41" spans="1:75" x14ac:dyDescent="0.2">
      <c r="A41" s="214" t="s">
        <v>65</v>
      </c>
      <c r="B41" s="213">
        <v>353838</v>
      </c>
      <c r="C41" s="213">
        <v>26611663</v>
      </c>
      <c r="D41" s="213">
        <f>1662340+4100786</f>
        <v>5763126</v>
      </c>
      <c r="E41" s="213">
        <v>330000</v>
      </c>
      <c r="F41" s="213"/>
      <c r="G41" s="213"/>
      <c r="H41" s="213"/>
      <c r="I41" s="213"/>
      <c r="J41" s="213"/>
      <c r="K41" s="213"/>
      <c r="L41" s="213">
        <v>93561</v>
      </c>
      <c r="M41" s="213">
        <v>257962</v>
      </c>
      <c r="N41" s="213">
        <v>147833420</v>
      </c>
      <c r="O41" s="213">
        <v>190277738</v>
      </c>
      <c r="P41" s="213"/>
      <c r="Q41" s="213"/>
      <c r="R41" s="213">
        <v>50263774</v>
      </c>
      <c r="S41" s="213">
        <v>4561559939</v>
      </c>
      <c r="T41" s="213">
        <v>40731630</v>
      </c>
      <c r="U41" s="213">
        <v>39142917</v>
      </c>
      <c r="V41" s="213"/>
      <c r="W41" s="213"/>
      <c r="X41" s="213">
        <f>504202+553973</f>
        <v>1058175</v>
      </c>
      <c r="Y41" s="213">
        <v>1556712</v>
      </c>
      <c r="Z41" s="213"/>
      <c r="AA41" s="213"/>
      <c r="AB41" s="213"/>
      <c r="AC41" s="213">
        <v>56948000</v>
      </c>
      <c r="AD41" s="213">
        <v>76747613541</v>
      </c>
      <c r="AE41" s="213">
        <v>43099201849</v>
      </c>
      <c r="AF41" s="213">
        <v>111015</v>
      </c>
      <c r="AG41" s="213">
        <v>1019369</v>
      </c>
      <c r="AH41" s="213"/>
      <c r="AI41" s="213"/>
      <c r="AJ41" s="213">
        <f>702141+411467-473220</f>
        <v>640388</v>
      </c>
      <c r="AK41" s="213">
        <f>2719206+263038+537958</f>
        <v>3520202</v>
      </c>
      <c r="AL41" s="213">
        <v>2236007</v>
      </c>
      <c r="AM41" s="213">
        <v>26937146</v>
      </c>
      <c r="AN41" s="213">
        <v>2730</v>
      </c>
      <c r="AO41" s="213">
        <v>129042</v>
      </c>
      <c r="AP41" s="213">
        <v>3311004</v>
      </c>
      <c r="AQ41" s="213">
        <v>2114</v>
      </c>
      <c r="AR41" s="213"/>
      <c r="AS41" s="213">
        <v>15973248</v>
      </c>
      <c r="AT41" s="213">
        <v>186</v>
      </c>
      <c r="AU41" s="213">
        <v>4011</v>
      </c>
      <c r="AV41" s="213">
        <v>4256701918</v>
      </c>
      <c r="AW41" s="213">
        <v>9061214558</v>
      </c>
      <c r="AX41" s="213"/>
      <c r="AY41" s="213"/>
      <c r="AZ41" s="213">
        <v>1253</v>
      </c>
      <c r="BA41" s="213">
        <v>40172578</v>
      </c>
      <c r="BB41" s="213">
        <f>39293000+116878000</f>
        <v>156171000</v>
      </c>
      <c r="BC41" s="213">
        <f>34654000+315061000</f>
        <v>349715000</v>
      </c>
      <c r="BD41" s="213">
        <v>353838</v>
      </c>
      <c r="BE41" s="213">
        <v>26611663</v>
      </c>
      <c r="BF41" s="213"/>
      <c r="BG41" s="213"/>
      <c r="BH41" s="213">
        <f>35807122+9578023</f>
        <v>45385145</v>
      </c>
      <c r="BI41" s="213">
        <f>114642114+16259013</f>
        <v>130901127</v>
      </c>
      <c r="BJ41" s="213"/>
      <c r="BK41" s="213"/>
      <c r="BL41" s="213">
        <v>89701</v>
      </c>
      <c r="BM41" s="213">
        <v>6151</v>
      </c>
      <c r="BN41" s="213">
        <v>4679139</v>
      </c>
      <c r="BO41" s="213">
        <v>113510718</v>
      </c>
      <c r="BP41" s="213"/>
      <c r="BQ41" s="213">
        <v>5867566</v>
      </c>
      <c r="BR41" s="213"/>
      <c r="BS41" s="213"/>
      <c r="BT41" s="213">
        <v>9957000</v>
      </c>
      <c r="BU41" s="213">
        <v>1924000</v>
      </c>
      <c r="BV41" s="209">
        <f t="shared" ref="BV41:BV42" si="96">+B41+D41+F41++H41+J41+L41+N41+P41+R41+T41+V41+X41+Z41+AB41+AD41+AF41+AH41+AJ41+AL41+AN41+AP41+AR41+AT41+AV41+AX41+AZ41+BB41+BD41+BF41+BH41+BJ41+BL41+BN41+BP41+BR41+BT41</f>
        <v>81473351389</v>
      </c>
      <c r="BW41" s="209">
        <f t="shared" ref="BW41:BW42" si="97">+C41+E41+G41++I41+K41+M41+O41+Q41+S41+U41+W41+Y41+AA41+AC41+AE41+AG41+AI41+AK41+AM41+AO41+AQ41+AS41+AU41+AW41+AY41+BA41+BC41+BE41+BG41+BI41+BK41+BM41+BO41+BQ41+BS41+BU41</f>
        <v>57753395273</v>
      </c>
    </row>
    <row r="42" spans="1:75" x14ac:dyDescent="0.2">
      <c r="A42" s="214" t="s">
        <v>66</v>
      </c>
      <c r="B42" s="213">
        <v>25277429</v>
      </c>
      <c r="C42" s="213">
        <v>18362622</v>
      </c>
      <c r="D42" s="213">
        <f>1561466+11904855</f>
        <v>13466321</v>
      </c>
      <c r="E42" s="213">
        <f>151825542+4742303</f>
        <v>156567845</v>
      </c>
      <c r="F42" s="213"/>
      <c r="G42" s="213"/>
      <c r="H42" s="213">
        <f>-96245+142641</f>
        <v>46396</v>
      </c>
      <c r="I42" s="235">
        <v>211250</v>
      </c>
      <c r="J42" s="213">
        <v>12097775</v>
      </c>
      <c r="K42" s="213">
        <v>19485924</v>
      </c>
      <c r="L42" s="213">
        <f>7008640+6301004+705539</f>
        <v>14015183</v>
      </c>
      <c r="M42" s="213">
        <f>11658416+6888975+2639062</f>
        <v>21186453</v>
      </c>
      <c r="N42" s="213">
        <v>760861621</v>
      </c>
      <c r="O42" s="213">
        <v>430300577</v>
      </c>
      <c r="P42" s="213">
        <v>18123481</v>
      </c>
      <c r="Q42" s="213">
        <v>5329745</v>
      </c>
      <c r="R42" s="213">
        <v>277886870</v>
      </c>
      <c r="S42" s="213">
        <v>47457176607</v>
      </c>
      <c r="T42" s="213">
        <v>16323819</v>
      </c>
      <c r="U42" s="213">
        <v>4863880</v>
      </c>
      <c r="V42" s="213">
        <v>1467440</v>
      </c>
      <c r="W42" s="213">
        <f>1503124+3679849</f>
        <v>5182973</v>
      </c>
      <c r="X42" s="213">
        <f>1263564+3298588</f>
        <v>4562152</v>
      </c>
      <c r="Y42" s="213">
        <f>489316+2589238</f>
        <v>3078554</v>
      </c>
      <c r="Z42" s="213"/>
      <c r="AA42" s="213"/>
      <c r="AB42" s="213"/>
      <c r="AC42" s="213"/>
      <c r="AD42" s="213">
        <v>50658568491</v>
      </c>
      <c r="AE42" s="213">
        <v>30010620877</v>
      </c>
      <c r="AF42" s="213">
        <f>7271608+5905195</f>
        <v>13176803</v>
      </c>
      <c r="AG42" s="213">
        <f>5130944+8285348</f>
        <v>13416292</v>
      </c>
      <c r="AH42" s="213">
        <v>1004559</v>
      </c>
      <c r="AI42" s="213"/>
      <c r="AJ42" s="213">
        <f>1280608+1533740</f>
        <v>2814348</v>
      </c>
      <c r="AK42" s="213">
        <f>20259743+762691+2411866</f>
        <v>23434300</v>
      </c>
      <c r="AL42" s="213">
        <v>43310016</v>
      </c>
      <c r="AM42" s="213">
        <v>59226641</v>
      </c>
      <c r="AN42" s="213">
        <v>701131</v>
      </c>
      <c r="AO42" s="213">
        <f>772785+749035</f>
        <v>1521820</v>
      </c>
      <c r="AP42" s="213">
        <f>155056959+46889485</f>
        <v>201946444</v>
      </c>
      <c r="AQ42" s="213">
        <f>35903229+208788678</f>
        <v>244691907</v>
      </c>
      <c r="AR42" s="213">
        <v>34733550</v>
      </c>
      <c r="AS42" s="213">
        <v>8191242</v>
      </c>
      <c r="AT42" s="213">
        <v>476002</v>
      </c>
      <c r="AU42" s="213">
        <v>3770670</v>
      </c>
      <c r="AV42" s="213">
        <v>9714850232</v>
      </c>
      <c r="AW42" s="213">
        <v>5518980234</v>
      </c>
      <c r="AX42" s="213">
        <v>12381762</v>
      </c>
      <c r="AY42" s="213">
        <v>1059177</v>
      </c>
      <c r="AZ42" s="213">
        <f>13886729+13027804</f>
        <v>26914533</v>
      </c>
      <c r="BA42" s="213">
        <f>2165783+36984956</f>
        <v>39150739</v>
      </c>
      <c r="BB42" s="213">
        <f>228974000+301059000</f>
        <v>530033000</v>
      </c>
      <c r="BC42" s="213">
        <f>109666000+528971000</f>
        <v>638637000</v>
      </c>
      <c r="BD42" s="213">
        <v>25277429</v>
      </c>
      <c r="BE42" s="213">
        <v>18362622</v>
      </c>
      <c r="BF42" s="213">
        <v>24865830</v>
      </c>
      <c r="BG42" s="213">
        <v>-102623253</v>
      </c>
      <c r="BH42" s="213">
        <f>64037909+63715945</f>
        <v>127753854</v>
      </c>
      <c r="BI42" s="213">
        <f>139376708+80573876</f>
        <v>219950584</v>
      </c>
      <c r="BJ42" s="213">
        <f>1664827+1589411</f>
        <v>3254238</v>
      </c>
      <c r="BK42" s="213">
        <f>6877774+1826596</f>
        <v>8704370</v>
      </c>
      <c r="BL42" s="213">
        <v>421177</v>
      </c>
      <c r="BM42" s="213">
        <v>1227</v>
      </c>
      <c r="BN42" s="213">
        <v>28582114</v>
      </c>
      <c r="BO42" s="213">
        <v>180076001</v>
      </c>
      <c r="BP42" s="213">
        <v>185846642</v>
      </c>
      <c r="BQ42" s="213">
        <v>51816737</v>
      </c>
      <c r="BR42" s="213"/>
      <c r="BS42" s="213"/>
      <c r="BT42" s="213">
        <v>64371000</v>
      </c>
      <c r="BU42" s="213">
        <v>133613000</v>
      </c>
      <c r="BV42" s="209">
        <f t="shared" si="96"/>
        <v>62845411642</v>
      </c>
      <c r="BW42" s="209">
        <f t="shared" si="97"/>
        <v>85194348617</v>
      </c>
    </row>
    <row r="43" spans="1:75" s="224" customFormat="1" x14ac:dyDescent="0.2">
      <c r="A43" s="223" t="s">
        <v>67</v>
      </c>
      <c r="B43" s="210">
        <f t="shared" ref="B43:BW43" si="98">+B40+B41-B42</f>
        <v>-78091440</v>
      </c>
      <c r="C43" s="210">
        <f t="shared" si="98"/>
        <v>-138611641</v>
      </c>
      <c r="D43" s="210">
        <f t="shared" si="98"/>
        <v>4453435</v>
      </c>
      <c r="E43" s="210">
        <f t="shared" si="98"/>
        <v>-65860181</v>
      </c>
      <c r="F43" s="210">
        <f t="shared" si="98"/>
        <v>0</v>
      </c>
      <c r="G43" s="210">
        <f t="shared" si="98"/>
        <v>98452000</v>
      </c>
      <c r="H43" s="210">
        <f t="shared" si="98"/>
        <v>2051847</v>
      </c>
      <c r="I43" s="210">
        <f t="shared" si="98"/>
        <v>3038750</v>
      </c>
      <c r="J43" s="210">
        <f t="shared" si="98"/>
        <v>137531653</v>
      </c>
      <c r="K43" s="210">
        <f t="shared" si="98"/>
        <v>221017413</v>
      </c>
      <c r="L43" s="210">
        <f t="shared" si="98"/>
        <v>12552105</v>
      </c>
      <c r="M43" s="210">
        <f t="shared" si="98"/>
        <v>7707286</v>
      </c>
      <c r="N43" s="210">
        <f t="shared" si="98"/>
        <v>653064080</v>
      </c>
      <c r="O43" s="210">
        <f t="shared" si="98"/>
        <v>563761711</v>
      </c>
      <c r="P43" s="210">
        <f t="shared" si="98"/>
        <v>1574262582</v>
      </c>
      <c r="Q43" s="210">
        <f t="shared" si="98"/>
        <v>1438508604</v>
      </c>
      <c r="R43" s="210">
        <f t="shared" si="98"/>
        <v>1739872945</v>
      </c>
      <c r="S43" s="210">
        <f t="shared" si="98"/>
        <v>-40622043773</v>
      </c>
      <c r="T43" s="210">
        <f t="shared" si="98"/>
        <v>205515341</v>
      </c>
      <c r="U43" s="210">
        <f t="shared" si="98"/>
        <v>116094935</v>
      </c>
      <c r="V43" s="210">
        <f t="shared" si="98"/>
        <v>21108560</v>
      </c>
      <c r="W43" s="210">
        <f t="shared" si="98"/>
        <v>9848271</v>
      </c>
      <c r="X43" s="210">
        <f t="shared" ref="X43:Y43" si="99">+X40+X41-X42</f>
        <v>184963</v>
      </c>
      <c r="Y43" s="210">
        <f t="shared" si="99"/>
        <v>2808511</v>
      </c>
      <c r="Z43" s="210">
        <f t="shared" ref="Z43:AA43" si="100">+Z40+Z41-Z42</f>
        <v>0</v>
      </c>
      <c r="AA43" s="210">
        <f t="shared" si="100"/>
        <v>0</v>
      </c>
      <c r="AB43" s="210">
        <f t="shared" ref="AB43:AC43" si="101">+AB40+AB41-AB42</f>
        <v>0</v>
      </c>
      <c r="AC43" s="210">
        <f t="shared" si="101"/>
        <v>-1627178</v>
      </c>
      <c r="AD43" s="210">
        <f t="shared" ref="AD43:AK43" si="102">+AD40+AD41-AD42</f>
        <v>13045692877</v>
      </c>
      <c r="AE43" s="210">
        <f t="shared" si="102"/>
        <v>15318794285</v>
      </c>
      <c r="AF43" s="210">
        <f t="shared" si="102"/>
        <v>423939282</v>
      </c>
      <c r="AG43" s="210">
        <f t="shared" si="102"/>
        <v>-29166731</v>
      </c>
      <c r="AH43" s="210">
        <f t="shared" si="102"/>
        <v>112629538</v>
      </c>
      <c r="AI43" s="210">
        <f t="shared" si="102"/>
        <v>57985691</v>
      </c>
      <c r="AJ43" s="210">
        <f t="shared" si="102"/>
        <v>19991718</v>
      </c>
      <c r="AK43" s="210">
        <f t="shared" si="102"/>
        <v>-7253717</v>
      </c>
      <c r="AL43" s="210">
        <f t="shared" ref="AL43" si="103">+AL40+AL41-AL42</f>
        <v>100029036</v>
      </c>
      <c r="AM43" s="210">
        <f t="shared" ref="AM43" si="104">+AM40+AM41-AM42</f>
        <v>86184788</v>
      </c>
      <c r="AN43" s="210">
        <f t="shared" ref="AN43" si="105">+AN40+AN41-AN42</f>
        <v>11823755</v>
      </c>
      <c r="AO43" s="210">
        <f t="shared" ref="AO43" si="106">+AO40+AO41-AO42</f>
        <v>11559317</v>
      </c>
      <c r="AP43" s="210">
        <f t="shared" ref="AP43" si="107">+AP40+AP41-AP42</f>
        <v>231143851</v>
      </c>
      <c r="AQ43" s="210">
        <f t="shared" ref="AQ43" si="108">+AQ40+AQ41-AQ42</f>
        <v>-278428347</v>
      </c>
      <c r="AR43" s="210">
        <f t="shared" ref="AR43:AT43" si="109">+AR40+AR41-AR42</f>
        <v>248917948</v>
      </c>
      <c r="AS43" s="210">
        <f t="shared" ref="AS43:AV43" si="110">+AS40+AS41-AS42</f>
        <v>680881587</v>
      </c>
      <c r="AT43" s="210">
        <f t="shared" si="109"/>
        <v>-475816</v>
      </c>
      <c r="AU43" s="210">
        <f t="shared" si="110"/>
        <v>-98630530</v>
      </c>
      <c r="AV43" s="210">
        <f t="shared" si="110"/>
        <v>5539919512</v>
      </c>
      <c r="AW43" s="210">
        <f t="shared" ref="AW43" si="111">+AW40+AW41-AW42</f>
        <v>7619084737</v>
      </c>
      <c r="AX43" s="210">
        <f>+AX40+AX41-AX42</f>
        <v>36676994</v>
      </c>
      <c r="AY43" s="210">
        <f>+AY40+AY41-AY42</f>
        <v>-27563840</v>
      </c>
      <c r="AZ43" s="210">
        <f>+AZ40+AZ41-AZ42</f>
        <v>84192816</v>
      </c>
      <c r="BA43" s="210">
        <f>+BA40+BA41-BA42</f>
        <v>107648182</v>
      </c>
      <c r="BB43" s="210">
        <f t="shared" ref="BB43" si="112">+BB40+BB41-BB42</f>
        <v>3000230000</v>
      </c>
      <c r="BC43" s="210">
        <f t="shared" ref="BC43:BD43" si="113">+BC40+BC41-BC42</f>
        <v>817736000</v>
      </c>
      <c r="BD43" s="210">
        <f t="shared" si="113"/>
        <v>-78091440</v>
      </c>
      <c r="BE43" s="210">
        <f t="shared" ref="BE43" si="114">+BE40+BE41-BE42</f>
        <v>-138611641</v>
      </c>
      <c r="BF43" s="210">
        <f t="shared" ref="BF43:BS43" si="115">+BF40+BF41-BF42</f>
        <v>542194972</v>
      </c>
      <c r="BG43" s="210">
        <f t="shared" si="115"/>
        <v>460349033</v>
      </c>
      <c r="BH43" s="210">
        <f t="shared" si="115"/>
        <v>612012011</v>
      </c>
      <c r="BI43" s="210">
        <f t="shared" si="115"/>
        <v>681996963</v>
      </c>
      <c r="BJ43" s="210">
        <f t="shared" si="115"/>
        <v>3389477</v>
      </c>
      <c r="BK43" s="210">
        <f t="shared" si="115"/>
        <v>-181827591</v>
      </c>
      <c r="BL43" s="210">
        <f t="shared" si="115"/>
        <v>-76894470</v>
      </c>
      <c r="BM43" s="210">
        <f t="shared" si="115"/>
        <v>-40543764</v>
      </c>
      <c r="BN43" s="210">
        <f t="shared" si="115"/>
        <v>314767355</v>
      </c>
      <c r="BO43" s="210">
        <f t="shared" si="115"/>
        <v>-464016526</v>
      </c>
      <c r="BP43" s="210">
        <f t="shared" si="115"/>
        <v>718755900</v>
      </c>
      <c r="BQ43" s="210">
        <f t="shared" si="115"/>
        <v>775831986</v>
      </c>
      <c r="BR43" s="210">
        <f t="shared" si="115"/>
        <v>46678277</v>
      </c>
      <c r="BS43" s="210">
        <f t="shared" si="115"/>
        <v>13254999</v>
      </c>
      <c r="BT43" s="210">
        <f t="shared" ref="BT43:BU43" si="116">+BT40+BT41-BT42</f>
        <v>240472000</v>
      </c>
      <c r="BU43" s="210">
        <f t="shared" si="116"/>
        <v>68889000</v>
      </c>
      <c r="BV43" s="210">
        <f t="shared" si="98"/>
        <v>29450501664</v>
      </c>
      <c r="BW43" s="210">
        <f t="shared" si="98"/>
        <v>-12932751411</v>
      </c>
    </row>
    <row r="44" spans="1:75" x14ac:dyDescent="0.2">
      <c r="A44" s="214" t="s">
        <v>68</v>
      </c>
      <c r="B44" s="235"/>
      <c r="C44" s="235"/>
      <c r="D44" s="235">
        <v>-2851000</v>
      </c>
      <c r="E44" s="235"/>
      <c r="F44" s="235"/>
      <c r="G44" s="235">
        <v>-34458000</v>
      </c>
      <c r="H44" s="235">
        <v>-768071</v>
      </c>
      <c r="I44" s="235">
        <v>-1137500</v>
      </c>
      <c r="J44" s="235">
        <v>-50215865</v>
      </c>
      <c r="K44" s="235">
        <v>-78989000</v>
      </c>
      <c r="L44" s="235">
        <v>-6866000</v>
      </c>
      <c r="M44" s="235">
        <v>0</v>
      </c>
      <c r="N44" s="235">
        <v>-227537000</v>
      </c>
      <c r="O44" s="235">
        <v>-236469000</v>
      </c>
      <c r="P44" s="235">
        <v>-652202000</v>
      </c>
      <c r="Q44" s="235">
        <v>-631148000</v>
      </c>
      <c r="R44" s="235">
        <v>-608955531</v>
      </c>
      <c r="S44" s="235">
        <v>-645615855</v>
      </c>
      <c r="T44" s="235">
        <v>-69966000</v>
      </c>
      <c r="U44" s="235">
        <v>-55560000</v>
      </c>
      <c r="V44" s="235">
        <v>-7901600</v>
      </c>
      <c r="W44" s="235"/>
      <c r="X44" s="235">
        <v>-1328000</v>
      </c>
      <c r="Y44" s="235">
        <v>-1621000</v>
      </c>
      <c r="Z44" s="235"/>
      <c r="AA44" s="235"/>
      <c r="AB44" s="235"/>
      <c r="AC44" s="235"/>
      <c r="AD44" s="235">
        <f>-2292617700-364028718</f>
        <v>-2656646418</v>
      </c>
      <c r="AE44" s="235">
        <f>-3551154348+1122098567</f>
        <v>-2429055781</v>
      </c>
      <c r="AF44" s="235">
        <v>-166696000</v>
      </c>
      <c r="AG44" s="235">
        <v>-3560000</v>
      </c>
      <c r="AH44" s="235"/>
      <c r="AI44" s="235"/>
      <c r="AJ44" s="235">
        <v>-7685841</v>
      </c>
      <c r="AK44" s="235">
        <v>2401980</v>
      </c>
      <c r="AL44" s="235">
        <v>-45446000</v>
      </c>
      <c r="AM44" s="235">
        <v>-51058000</v>
      </c>
      <c r="AN44" s="235">
        <v>-4732000</v>
      </c>
      <c r="AO44" s="235">
        <v>-4818000</v>
      </c>
      <c r="AP44" s="235">
        <v>-90136948</v>
      </c>
      <c r="AQ44" s="235"/>
      <c r="AR44" s="235">
        <v>-79534918</v>
      </c>
      <c r="AS44" s="235">
        <v>-238308556</v>
      </c>
      <c r="AT44" s="235"/>
      <c r="AU44" s="235"/>
      <c r="AV44" s="235">
        <f>-2599732000+654731150</f>
        <v>-1945000850</v>
      </c>
      <c r="AW44" s="235">
        <f>-2409396000+465703645</f>
        <v>-1943692355</v>
      </c>
      <c r="AX44" s="235">
        <v>-12836948</v>
      </c>
      <c r="AY44" s="235"/>
      <c r="AZ44" s="235">
        <v>-39112588</v>
      </c>
      <c r="BA44" s="235">
        <v>-46575210</v>
      </c>
      <c r="BB44" s="235">
        <v>-968777000</v>
      </c>
      <c r="BC44" s="235">
        <v>-361349000</v>
      </c>
      <c r="BD44" s="235"/>
      <c r="BE44" s="235"/>
      <c r="BF44" s="235">
        <v>-203845000</v>
      </c>
      <c r="BG44" s="235">
        <v>-172559000</v>
      </c>
      <c r="BH44" s="235">
        <v>-225939000</v>
      </c>
      <c r="BI44" s="235">
        <v>-261731000</v>
      </c>
      <c r="BJ44" s="235">
        <v>-1186317</v>
      </c>
      <c r="BK44" s="235"/>
      <c r="BL44" s="235">
        <v>-8686000</v>
      </c>
      <c r="BM44" s="235"/>
      <c r="BN44" s="235">
        <v>-122631000</v>
      </c>
      <c r="BO44" s="235"/>
      <c r="BP44" s="235">
        <v>-251564564</v>
      </c>
      <c r="BQ44" s="235">
        <v>-271541195</v>
      </c>
      <c r="BR44" s="235">
        <v>-15637223</v>
      </c>
      <c r="BS44" s="235">
        <v>-4440425</v>
      </c>
      <c r="BT44" s="235">
        <v>-84165000</v>
      </c>
      <c r="BU44" s="235">
        <v>-24111000</v>
      </c>
      <c r="BV44" s="209">
        <f t="shared" ref="BV44" si="117">+B44+D44+F44++H44+J44+L44+N44+P44+R44+T44+V44+X44+Z44+AB44+AD44+AF44+AH44+AJ44+AL44+AN44+AP44+AR44+AT44+AV44+AX44+AZ44+BB44+BD44+BF44+BH44+BJ44+BL44+BN44+BP44+BR44+BT44</f>
        <v>-8558850682</v>
      </c>
      <c r="BW44" s="209">
        <f t="shared" ref="BW44" si="118">+C44+E44+G44++I44+K44+M44+O44+Q44+S44+U44+W44+Y44+AA44+AC44+AE44+AG44+AI44+AK44+AM44+AO44+AQ44+AS44+AU44+AW44+AY44+BA44+BC44+BE44+BG44+BI44+BK44+BM44+BO44+BQ44+BS44+BU44</f>
        <v>-7495395897</v>
      </c>
    </row>
    <row r="45" spans="1:75" s="224" customFormat="1" x14ac:dyDescent="0.2">
      <c r="A45" s="223" t="s">
        <v>69</v>
      </c>
      <c r="B45" s="210">
        <f t="shared" ref="B45:BW45" si="119">+B43+B44</f>
        <v>-78091440</v>
      </c>
      <c r="C45" s="210">
        <f t="shared" si="119"/>
        <v>-138611641</v>
      </c>
      <c r="D45" s="210">
        <f t="shared" si="119"/>
        <v>1602435</v>
      </c>
      <c r="E45" s="210">
        <f t="shared" si="119"/>
        <v>-65860181</v>
      </c>
      <c r="F45" s="210">
        <f t="shared" si="119"/>
        <v>0</v>
      </c>
      <c r="G45" s="210">
        <f t="shared" si="119"/>
        <v>63994000</v>
      </c>
      <c r="H45" s="210">
        <f t="shared" si="119"/>
        <v>1283776</v>
      </c>
      <c r="I45" s="210">
        <f t="shared" si="119"/>
        <v>1901250</v>
      </c>
      <c r="J45" s="210">
        <f t="shared" si="119"/>
        <v>87315788</v>
      </c>
      <c r="K45" s="210">
        <f t="shared" si="119"/>
        <v>142028413</v>
      </c>
      <c r="L45" s="210">
        <f t="shared" si="119"/>
        <v>5686105</v>
      </c>
      <c r="M45" s="210">
        <f t="shared" si="119"/>
        <v>7707286</v>
      </c>
      <c r="N45" s="210">
        <f t="shared" si="119"/>
        <v>425527080</v>
      </c>
      <c r="O45" s="210">
        <f t="shared" si="119"/>
        <v>327292711</v>
      </c>
      <c r="P45" s="210">
        <f t="shared" si="119"/>
        <v>922060582</v>
      </c>
      <c r="Q45" s="210">
        <f t="shared" si="119"/>
        <v>807360604</v>
      </c>
      <c r="R45" s="210">
        <f t="shared" si="119"/>
        <v>1130917414</v>
      </c>
      <c r="S45" s="210">
        <f t="shared" si="119"/>
        <v>-41267659628</v>
      </c>
      <c r="T45" s="210">
        <f t="shared" si="119"/>
        <v>135549341</v>
      </c>
      <c r="U45" s="210">
        <f t="shared" si="119"/>
        <v>60534935</v>
      </c>
      <c r="V45" s="210">
        <f t="shared" si="119"/>
        <v>13206960</v>
      </c>
      <c r="W45" s="210">
        <f t="shared" si="119"/>
        <v>9848271</v>
      </c>
      <c r="X45" s="210">
        <f t="shared" ref="X45:Y45" si="120">+X43+X44</f>
        <v>-1143037</v>
      </c>
      <c r="Y45" s="210">
        <f t="shared" si="120"/>
        <v>1187511</v>
      </c>
      <c r="Z45" s="210">
        <f t="shared" ref="Z45:AA45" si="121">+Z43+Z44</f>
        <v>0</v>
      </c>
      <c r="AA45" s="210">
        <f t="shared" si="121"/>
        <v>0</v>
      </c>
      <c r="AB45" s="210">
        <f t="shared" ref="AB45:AC45" si="122">+AB43+AB44</f>
        <v>0</v>
      </c>
      <c r="AC45" s="210">
        <f t="shared" si="122"/>
        <v>-1627178</v>
      </c>
      <c r="AD45" s="210">
        <f t="shared" ref="AD45:AK45" si="123">+AD43+AD44</f>
        <v>10389046459</v>
      </c>
      <c r="AE45" s="210">
        <f t="shared" si="123"/>
        <v>12889738504</v>
      </c>
      <c r="AF45" s="210">
        <f t="shared" si="123"/>
        <v>257243282</v>
      </c>
      <c r="AG45" s="210">
        <f t="shared" si="123"/>
        <v>-32726731</v>
      </c>
      <c r="AH45" s="210">
        <f t="shared" si="123"/>
        <v>112629538</v>
      </c>
      <c r="AI45" s="210">
        <f t="shared" si="123"/>
        <v>57985691</v>
      </c>
      <c r="AJ45" s="210">
        <f t="shared" si="123"/>
        <v>12305877</v>
      </c>
      <c r="AK45" s="210">
        <f t="shared" si="123"/>
        <v>-4851737</v>
      </c>
      <c r="AL45" s="210">
        <f t="shared" ref="AL45" si="124">+AL43+AL44</f>
        <v>54583036</v>
      </c>
      <c r="AM45" s="210">
        <f t="shared" ref="AM45" si="125">+AM43+AM44</f>
        <v>35126788</v>
      </c>
      <c r="AN45" s="210">
        <f t="shared" ref="AN45" si="126">+AN43+AN44</f>
        <v>7091755</v>
      </c>
      <c r="AO45" s="210">
        <f t="shared" ref="AO45" si="127">+AO43+AO44</f>
        <v>6741317</v>
      </c>
      <c r="AP45" s="210">
        <f t="shared" ref="AP45" si="128">+AP43+AP44</f>
        <v>141006903</v>
      </c>
      <c r="AQ45" s="210">
        <f t="shared" ref="AQ45" si="129">+AQ43+AQ44</f>
        <v>-278428347</v>
      </c>
      <c r="AR45" s="210">
        <f t="shared" ref="AR45:AT45" si="130">+AR43+AR44</f>
        <v>169383030</v>
      </c>
      <c r="AS45" s="210">
        <f t="shared" ref="AS45:AV45" si="131">+AS43+AS44</f>
        <v>442573031</v>
      </c>
      <c r="AT45" s="210">
        <f t="shared" si="130"/>
        <v>-475816</v>
      </c>
      <c r="AU45" s="210">
        <f t="shared" si="131"/>
        <v>-98630530</v>
      </c>
      <c r="AV45" s="210">
        <f t="shared" si="131"/>
        <v>3594918662</v>
      </c>
      <c r="AW45" s="210">
        <f t="shared" ref="AW45" si="132">+AW43+AW44</f>
        <v>5675392382</v>
      </c>
      <c r="AX45" s="210">
        <f>+AX43+AX44</f>
        <v>23840046</v>
      </c>
      <c r="AY45" s="210">
        <f>+AY43+AY44</f>
        <v>-27563840</v>
      </c>
      <c r="AZ45" s="210">
        <f>+AZ43+AZ44</f>
        <v>45080228</v>
      </c>
      <c r="BA45" s="210">
        <f>+BA43+BA44</f>
        <v>61072972</v>
      </c>
      <c r="BB45" s="210">
        <f t="shared" ref="BB45" si="133">+BB43+BB44</f>
        <v>2031453000</v>
      </c>
      <c r="BC45" s="210">
        <f t="shared" ref="BC45:BD45" si="134">+BC43+BC44</f>
        <v>456387000</v>
      </c>
      <c r="BD45" s="210">
        <f t="shared" si="134"/>
        <v>-78091440</v>
      </c>
      <c r="BE45" s="210">
        <f t="shared" ref="BE45" si="135">+BE43+BE44</f>
        <v>-138611641</v>
      </c>
      <c r="BF45" s="210">
        <f t="shared" ref="BF45:BS45" si="136">+BF43+BF44</f>
        <v>338349972</v>
      </c>
      <c r="BG45" s="210">
        <f t="shared" si="136"/>
        <v>287790033</v>
      </c>
      <c r="BH45" s="210">
        <f t="shared" si="136"/>
        <v>386073011</v>
      </c>
      <c r="BI45" s="210">
        <f t="shared" si="136"/>
        <v>420265963</v>
      </c>
      <c r="BJ45" s="210">
        <f t="shared" si="136"/>
        <v>2203160</v>
      </c>
      <c r="BK45" s="210">
        <f t="shared" si="136"/>
        <v>-181827591</v>
      </c>
      <c r="BL45" s="210">
        <f t="shared" si="136"/>
        <v>-85580470</v>
      </c>
      <c r="BM45" s="210">
        <f t="shared" si="136"/>
        <v>-40543764</v>
      </c>
      <c r="BN45" s="210">
        <f t="shared" si="136"/>
        <v>192136355</v>
      </c>
      <c r="BO45" s="210">
        <f t="shared" si="136"/>
        <v>-464016526</v>
      </c>
      <c r="BP45" s="210">
        <f t="shared" si="136"/>
        <v>467191336</v>
      </c>
      <c r="BQ45" s="210">
        <f t="shared" si="136"/>
        <v>504290791</v>
      </c>
      <c r="BR45" s="210">
        <f t="shared" si="136"/>
        <v>31041054</v>
      </c>
      <c r="BS45" s="210">
        <f t="shared" si="136"/>
        <v>8814574</v>
      </c>
      <c r="BT45" s="210">
        <f t="shared" ref="BT45:BU45" si="137">+BT43+BT44</f>
        <v>156307000</v>
      </c>
      <c r="BU45" s="210">
        <f t="shared" si="137"/>
        <v>44778000</v>
      </c>
      <c r="BV45" s="210">
        <f t="shared" si="119"/>
        <v>20891650982</v>
      </c>
      <c r="BW45" s="210">
        <f t="shared" si="119"/>
        <v>-20428147308</v>
      </c>
    </row>
    <row r="46" spans="1:75" x14ac:dyDescent="0.2">
      <c r="A46" s="214" t="s">
        <v>98</v>
      </c>
      <c r="B46" s="235"/>
      <c r="C46" s="235"/>
      <c r="D46" s="235"/>
      <c r="E46" s="235"/>
      <c r="F46" s="235"/>
      <c r="G46" s="235"/>
      <c r="H46" s="235"/>
      <c r="I46" s="235"/>
      <c r="J46" s="235"/>
      <c r="K46" s="235"/>
      <c r="L46" s="235"/>
      <c r="M46" s="235"/>
      <c r="N46" s="235"/>
      <c r="O46" s="235"/>
      <c r="P46" s="235"/>
      <c r="Q46" s="235"/>
      <c r="R46" s="235"/>
      <c r="S46" s="235"/>
      <c r="T46" s="235">
        <v>-11903088</v>
      </c>
      <c r="U46" s="235">
        <v>11534632</v>
      </c>
      <c r="V46" s="235"/>
      <c r="W46" s="235"/>
      <c r="X46" s="235"/>
      <c r="Y46" s="235"/>
      <c r="Z46" s="235"/>
      <c r="AA46" s="235"/>
      <c r="AB46" s="235"/>
      <c r="AC46" s="235"/>
      <c r="AD46" s="235">
        <v>-383072655</v>
      </c>
      <c r="AE46" s="235">
        <v>-295444768</v>
      </c>
      <c r="AF46" s="235"/>
      <c r="AG46" s="235"/>
      <c r="AH46" s="235"/>
      <c r="AI46" s="235"/>
      <c r="AJ46" s="235"/>
      <c r="AK46" s="235"/>
      <c r="AL46" s="235"/>
      <c r="AM46" s="235"/>
      <c r="AN46" s="235"/>
      <c r="AO46" s="235"/>
      <c r="AP46" s="235"/>
      <c r="AQ46" s="235"/>
      <c r="AR46" s="235"/>
      <c r="AS46" s="235"/>
      <c r="AT46" s="235"/>
      <c r="AU46" s="235"/>
      <c r="AV46" s="235"/>
      <c r="AW46" s="235">
        <v>-6040330</v>
      </c>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09">
        <f t="shared" ref="BV46" si="138">+B46+D46+F46++H46+J46+L46+N46+P46+R46+T46+V46+X46+Z46+AB46+AD46+AF46+AH46+AJ46+AL46+AN46+AP46+AR46+AT46+AV46+AX46+AZ46+BB46+BD46+BF46+BH46+BJ46+BL46+BN46+BP46+BR46+BT46</f>
        <v>-394975743</v>
      </c>
      <c r="BW46" s="209">
        <f t="shared" ref="BW46" si="139">+C46+E46+G46++I46+K46+M46+O46+Q46+S46+U46+W46+Y46+AA46+AC46+AE46+AG46+AI46+AK46+AM46+AO46+AQ46+AS46+AU46+AW46+AY46+BA46+BC46+BE46+BG46+BI46+BK46+BM46+BO46+BQ46+BS46+BU46</f>
        <v>-289950466</v>
      </c>
    </row>
    <row r="47" spans="1:75" s="224" customFormat="1" x14ac:dyDescent="0.2">
      <c r="A47" s="223" t="s">
        <v>183</v>
      </c>
      <c r="B47" s="210">
        <f t="shared" ref="B47:W47" si="140">+B45+B46</f>
        <v>-78091440</v>
      </c>
      <c r="C47" s="210">
        <f t="shared" si="140"/>
        <v>-138611641</v>
      </c>
      <c r="D47" s="210">
        <f t="shared" si="140"/>
        <v>1602435</v>
      </c>
      <c r="E47" s="210">
        <f t="shared" si="140"/>
        <v>-65860181</v>
      </c>
      <c r="F47" s="210">
        <f t="shared" si="140"/>
        <v>0</v>
      </c>
      <c r="G47" s="210">
        <f t="shared" si="140"/>
        <v>63994000</v>
      </c>
      <c r="H47" s="210">
        <f t="shared" si="140"/>
        <v>1283776</v>
      </c>
      <c r="I47" s="210">
        <f t="shared" si="140"/>
        <v>1901250</v>
      </c>
      <c r="J47" s="210">
        <f t="shared" si="140"/>
        <v>87315788</v>
      </c>
      <c r="K47" s="210">
        <f t="shared" si="140"/>
        <v>142028413</v>
      </c>
      <c r="L47" s="210">
        <f t="shared" si="140"/>
        <v>5686105</v>
      </c>
      <c r="M47" s="210">
        <f t="shared" si="140"/>
        <v>7707286</v>
      </c>
      <c r="N47" s="210">
        <f t="shared" si="140"/>
        <v>425527080</v>
      </c>
      <c r="O47" s="210">
        <f t="shared" si="140"/>
        <v>327292711</v>
      </c>
      <c r="P47" s="210">
        <f t="shared" si="140"/>
        <v>922060582</v>
      </c>
      <c r="Q47" s="210">
        <f t="shared" si="140"/>
        <v>807360604</v>
      </c>
      <c r="R47" s="210">
        <f t="shared" si="140"/>
        <v>1130917414</v>
      </c>
      <c r="S47" s="210">
        <f t="shared" si="140"/>
        <v>-41267659628</v>
      </c>
      <c r="T47" s="210">
        <f t="shared" si="140"/>
        <v>123646253</v>
      </c>
      <c r="U47" s="210">
        <f t="shared" si="140"/>
        <v>72069567</v>
      </c>
      <c r="V47" s="210">
        <f t="shared" si="140"/>
        <v>13206960</v>
      </c>
      <c r="W47" s="210">
        <f t="shared" si="140"/>
        <v>9848271</v>
      </c>
      <c r="X47" s="210">
        <f t="shared" ref="X47:Y47" si="141">+X45+X46</f>
        <v>-1143037</v>
      </c>
      <c r="Y47" s="210">
        <f t="shared" si="141"/>
        <v>1187511</v>
      </c>
      <c r="Z47" s="210">
        <f t="shared" ref="Z47:AA47" si="142">+Z45+Z46</f>
        <v>0</v>
      </c>
      <c r="AA47" s="210">
        <f t="shared" si="142"/>
        <v>0</v>
      </c>
      <c r="AB47" s="210">
        <f t="shared" ref="AB47:AC47" si="143">+AB45+AB46</f>
        <v>0</v>
      </c>
      <c r="AC47" s="210">
        <f t="shared" si="143"/>
        <v>-1627178</v>
      </c>
      <c r="AD47" s="210">
        <f t="shared" ref="AD47:BW47" si="144">+AD45+AD46</f>
        <v>10005973804</v>
      </c>
      <c r="AE47" s="210">
        <f t="shared" si="144"/>
        <v>12594293736</v>
      </c>
      <c r="AF47" s="210">
        <f t="shared" si="144"/>
        <v>257243282</v>
      </c>
      <c r="AG47" s="210">
        <f t="shared" si="144"/>
        <v>-32726731</v>
      </c>
      <c r="AH47" s="210">
        <f t="shared" si="144"/>
        <v>112629538</v>
      </c>
      <c r="AI47" s="210">
        <f t="shared" si="144"/>
        <v>57985691</v>
      </c>
      <c r="AJ47" s="210">
        <f t="shared" si="144"/>
        <v>12305877</v>
      </c>
      <c r="AK47" s="210">
        <f t="shared" si="144"/>
        <v>-4851737</v>
      </c>
      <c r="AL47" s="210">
        <f t="shared" ref="AL47" si="145">+AL45+AL46</f>
        <v>54583036</v>
      </c>
      <c r="AM47" s="210">
        <f t="shared" ref="AM47" si="146">+AM45+AM46</f>
        <v>35126788</v>
      </c>
      <c r="AN47" s="210">
        <f t="shared" ref="AN47" si="147">+AN45+AN46</f>
        <v>7091755</v>
      </c>
      <c r="AO47" s="210">
        <f t="shared" ref="AO47" si="148">+AO45+AO46</f>
        <v>6741317</v>
      </c>
      <c r="AP47" s="210">
        <f t="shared" ref="AP47" si="149">+AP45+AP46</f>
        <v>141006903</v>
      </c>
      <c r="AQ47" s="210">
        <f t="shared" ref="AQ47" si="150">+AQ45+AQ46</f>
        <v>-278428347</v>
      </c>
      <c r="AR47" s="210">
        <f t="shared" ref="AR47:AT47" si="151">+AR45+AR46</f>
        <v>169383030</v>
      </c>
      <c r="AS47" s="210">
        <f t="shared" ref="AS47:AV47" si="152">+AS45+AS46</f>
        <v>442573031</v>
      </c>
      <c r="AT47" s="210">
        <f t="shared" si="151"/>
        <v>-475816</v>
      </c>
      <c r="AU47" s="210">
        <f t="shared" si="152"/>
        <v>-98630530</v>
      </c>
      <c r="AV47" s="210">
        <f t="shared" si="152"/>
        <v>3594918662</v>
      </c>
      <c r="AW47" s="210">
        <f t="shared" ref="AW47" si="153">+AW45+AW46</f>
        <v>5669352052</v>
      </c>
      <c r="AX47" s="210">
        <f>+AX45+AX46</f>
        <v>23840046</v>
      </c>
      <c r="AY47" s="210">
        <f>+AY45+AY46</f>
        <v>-27563840</v>
      </c>
      <c r="AZ47" s="210">
        <f>+AZ45+AZ46</f>
        <v>45080228</v>
      </c>
      <c r="BA47" s="210">
        <f>+BA45+BA46</f>
        <v>61072972</v>
      </c>
      <c r="BB47" s="210">
        <f t="shared" ref="BB47" si="154">+BB45+BB46</f>
        <v>2031453000</v>
      </c>
      <c r="BC47" s="210">
        <f t="shared" ref="BC47:BD47" si="155">+BC45+BC46</f>
        <v>456387000</v>
      </c>
      <c r="BD47" s="210">
        <f t="shared" si="155"/>
        <v>-78091440</v>
      </c>
      <c r="BE47" s="210">
        <f t="shared" ref="BE47" si="156">+BE45+BE46</f>
        <v>-138611641</v>
      </c>
      <c r="BF47" s="210">
        <f t="shared" ref="BF47:BS47" si="157">+BF45+BF46</f>
        <v>338349972</v>
      </c>
      <c r="BG47" s="210">
        <f t="shared" si="157"/>
        <v>287790033</v>
      </c>
      <c r="BH47" s="210">
        <f t="shared" si="157"/>
        <v>386073011</v>
      </c>
      <c r="BI47" s="210">
        <f t="shared" si="157"/>
        <v>420265963</v>
      </c>
      <c r="BJ47" s="210">
        <f t="shared" si="157"/>
        <v>2203160</v>
      </c>
      <c r="BK47" s="210">
        <f t="shared" si="157"/>
        <v>-181827591</v>
      </c>
      <c r="BL47" s="210">
        <f t="shared" si="157"/>
        <v>-85580470</v>
      </c>
      <c r="BM47" s="210">
        <f t="shared" si="157"/>
        <v>-40543764</v>
      </c>
      <c r="BN47" s="210">
        <f t="shared" si="157"/>
        <v>192136355</v>
      </c>
      <c r="BO47" s="210">
        <f t="shared" si="157"/>
        <v>-464016526</v>
      </c>
      <c r="BP47" s="210">
        <f t="shared" si="157"/>
        <v>467191336</v>
      </c>
      <c r="BQ47" s="210">
        <f t="shared" si="157"/>
        <v>504290791</v>
      </c>
      <c r="BR47" s="210">
        <f t="shared" si="157"/>
        <v>31041054</v>
      </c>
      <c r="BS47" s="210">
        <f t="shared" si="157"/>
        <v>8814574</v>
      </c>
      <c r="BT47" s="210">
        <f t="shared" ref="BT47:BU47" si="158">+BT45+BT46</f>
        <v>156307000</v>
      </c>
      <c r="BU47" s="210">
        <f t="shared" si="158"/>
        <v>44778000</v>
      </c>
      <c r="BV47" s="210">
        <f t="shared" si="144"/>
        <v>20496675239</v>
      </c>
      <c r="BW47" s="210">
        <f t="shared" si="144"/>
        <v>-20718097774</v>
      </c>
    </row>
    <row r="48" spans="1:75" s="216" customFormat="1" x14ac:dyDescent="0.2">
      <c r="A48" s="238"/>
      <c r="B48" s="240"/>
      <c r="C48" s="240"/>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row>
    <row r="49" spans="1:75" s="216" customFormat="1" x14ac:dyDescent="0.2">
      <c r="A49" s="238" t="s">
        <v>99</v>
      </c>
      <c r="B49" s="241">
        <f t="shared" ref="B49:BV49" si="159">+B12-B33</f>
        <v>0</v>
      </c>
      <c r="C49" s="241">
        <f t="shared" si="159"/>
        <v>0</v>
      </c>
      <c r="D49" s="241">
        <f t="shared" si="159"/>
        <v>0</v>
      </c>
      <c r="E49" s="241">
        <f t="shared" si="159"/>
        <v>0</v>
      </c>
      <c r="F49" s="241">
        <f t="shared" si="159"/>
        <v>0</v>
      </c>
      <c r="G49" s="241">
        <f t="shared" si="159"/>
        <v>0</v>
      </c>
      <c r="H49" s="241">
        <f t="shared" si="159"/>
        <v>0</v>
      </c>
      <c r="I49" s="241">
        <f t="shared" si="159"/>
        <v>0</v>
      </c>
      <c r="J49" s="241">
        <f t="shared" si="159"/>
        <v>0</v>
      </c>
      <c r="K49" s="241">
        <f t="shared" si="159"/>
        <v>0</v>
      </c>
      <c r="L49" s="241">
        <f t="shared" si="159"/>
        <v>0</v>
      </c>
      <c r="M49" s="241">
        <f t="shared" si="159"/>
        <v>0</v>
      </c>
      <c r="N49" s="241">
        <f t="shared" si="159"/>
        <v>0</v>
      </c>
      <c r="O49" s="241">
        <f t="shared" si="159"/>
        <v>0</v>
      </c>
      <c r="P49" s="241">
        <f t="shared" si="159"/>
        <v>0</v>
      </c>
      <c r="Q49" s="241">
        <f t="shared" si="159"/>
        <v>0</v>
      </c>
      <c r="R49" s="241">
        <f t="shared" si="159"/>
        <v>0</v>
      </c>
      <c r="S49" s="241">
        <f t="shared" si="159"/>
        <v>0</v>
      </c>
      <c r="T49" s="241">
        <f t="shared" si="159"/>
        <v>0</v>
      </c>
      <c r="U49" s="241">
        <f t="shared" si="159"/>
        <v>0</v>
      </c>
      <c r="V49" s="241">
        <f t="shared" si="159"/>
        <v>0</v>
      </c>
      <c r="W49" s="241">
        <f t="shared" si="159"/>
        <v>0</v>
      </c>
      <c r="X49" s="241">
        <f t="shared" ref="X49:Y49" si="160">+X12-X33</f>
        <v>0</v>
      </c>
      <c r="Y49" s="241">
        <f t="shared" si="160"/>
        <v>0</v>
      </c>
      <c r="Z49" s="241">
        <f t="shared" ref="Z49:AA49" si="161">+Z12-Z33</f>
        <v>0</v>
      </c>
      <c r="AA49" s="241">
        <f t="shared" si="161"/>
        <v>0</v>
      </c>
      <c r="AB49" s="241">
        <f t="shared" ref="AB49:AC49" si="162">+AB12-AB33</f>
        <v>0</v>
      </c>
      <c r="AC49" s="241">
        <f t="shared" si="162"/>
        <v>0</v>
      </c>
      <c r="AD49" s="241">
        <f t="shared" ref="AD49:AK49" si="163">+AD12-AD33</f>
        <v>0</v>
      </c>
      <c r="AE49" s="241">
        <f t="shared" si="163"/>
        <v>0</v>
      </c>
      <c r="AF49" s="241">
        <f t="shared" si="163"/>
        <v>0</v>
      </c>
      <c r="AG49" s="241">
        <f t="shared" si="163"/>
        <v>0</v>
      </c>
      <c r="AH49" s="241">
        <f t="shared" si="163"/>
        <v>0</v>
      </c>
      <c r="AI49" s="241">
        <f t="shared" si="163"/>
        <v>0</v>
      </c>
      <c r="AJ49" s="241">
        <f t="shared" si="163"/>
        <v>0</v>
      </c>
      <c r="AK49" s="241">
        <f t="shared" si="163"/>
        <v>0</v>
      </c>
      <c r="AL49" s="241">
        <f t="shared" ref="AL49:AM49" si="164">+AL12-AL33</f>
        <v>0</v>
      </c>
      <c r="AM49" s="241">
        <f t="shared" si="164"/>
        <v>0</v>
      </c>
      <c r="AN49" s="241">
        <f t="shared" ref="AN49:AO49" si="165">+AN12-AN33</f>
        <v>0</v>
      </c>
      <c r="AO49" s="241">
        <f t="shared" si="165"/>
        <v>0</v>
      </c>
      <c r="AP49" s="241">
        <f t="shared" ref="AP49:AQ49" si="166">+AP12-AP33</f>
        <v>0</v>
      </c>
      <c r="AQ49" s="241">
        <f t="shared" si="166"/>
        <v>0</v>
      </c>
      <c r="AR49" s="241">
        <f t="shared" ref="AR49:AS49" si="167">+AR12-AR33</f>
        <v>0</v>
      </c>
      <c r="AS49" s="241">
        <f t="shared" si="167"/>
        <v>0</v>
      </c>
      <c r="AT49" s="241">
        <f t="shared" ref="AT49:AU49" si="168">+AT12-AT33</f>
        <v>0</v>
      </c>
      <c r="AU49" s="241">
        <f t="shared" si="168"/>
        <v>0</v>
      </c>
      <c r="AV49" s="241">
        <f t="shared" ref="AV49:AW49" si="169">+AV12-AV33</f>
        <v>0</v>
      </c>
      <c r="AW49" s="241">
        <f t="shared" si="169"/>
        <v>0</v>
      </c>
      <c r="AX49" s="241">
        <f>+AX12-AX33</f>
        <v>0</v>
      </c>
      <c r="AY49" s="241">
        <f>+AY12-AY33</f>
        <v>0</v>
      </c>
      <c r="AZ49" s="241">
        <f>+AZ12-AZ33</f>
        <v>0</v>
      </c>
      <c r="BA49" s="241">
        <f>+BA12-BA33</f>
        <v>0</v>
      </c>
      <c r="BB49" s="241">
        <f t="shared" ref="BB49:BE49" si="170">+BB12-BB33</f>
        <v>0</v>
      </c>
      <c r="BC49" s="241">
        <f t="shared" si="170"/>
        <v>0</v>
      </c>
      <c r="BD49" s="241">
        <f t="shared" si="170"/>
        <v>0</v>
      </c>
      <c r="BE49" s="241">
        <f t="shared" si="170"/>
        <v>0</v>
      </c>
      <c r="BF49" s="241">
        <f t="shared" ref="BF49:BS49" si="171">+BF12-BF33</f>
        <v>0</v>
      </c>
      <c r="BG49" s="241">
        <f t="shared" si="171"/>
        <v>0</v>
      </c>
      <c r="BH49" s="241">
        <f t="shared" si="171"/>
        <v>0</v>
      </c>
      <c r="BI49" s="241">
        <f t="shared" si="171"/>
        <v>0</v>
      </c>
      <c r="BJ49" s="241">
        <f t="shared" si="171"/>
        <v>0</v>
      </c>
      <c r="BK49" s="241">
        <f t="shared" si="171"/>
        <v>0</v>
      </c>
      <c r="BL49" s="241">
        <f t="shared" si="171"/>
        <v>0</v>
      </c>
      <c r="BM49" s="241">
        <f t="shared" si="171"/>
        <v>0</v>
      </c>
      <c r="BN49" s="241">
        <f t="shared" si="171"/>
        <v>0</v>
      </c>
      <c r="BO49" s="241">
        <f t="shared" si="171"/>
        <v>0</v>
      </c>
      <c r="BP49" s="241">
        <f t="shared" si="171"/>
        <v>0</v>
      </c>
      <c r="BQ49" s="241">
        <f t="shared" si="171"/>
        <v>0</v>
      </c>
      <c r="BR49" s="241">
        <f t="shared" si="171"/>
        <v>0</v>
      </c>
      <c r="BS49" s="241">
        <f t="shared" si="171"/>
        <v>0</v>
      </c>
      <c r="BT49" s="241">
        <f t="shared" ref="BT49:BU49" si="172">+BT12-BT33</f>
        <v>0</v>
      </c>
      <c r="BU49" s="241">
        <f t="shared" si="172"/>
        <v>0</v>
      </c>
      <c r="BV49" s="241">
        <f t="shared" si="159"/>
        <v>0</v>
      </c>
      <c r="BW49" s="241">
        <f>+BW12-BW33</f>
        <v>0</v>
      </c>
    </row>
    <row r="50" spans="1:75" s="216" customFormat="1" x14ac:dyDescent="0.2">
      <c r="A50" s="238" t="s">
        <v>100</v>
      </c>
      <c r="B50" s="241">
        <v>-78091440</v>
      </c>
      <c r="C50" s="241">
        <v>-138611641</v>
      </c>
      <c r="D50" s="241">
        <v>1602435</v>
      </c>
      <c r="E50" s="241">
        <v>-65860181</v>
      </c>
      <c r="F50" s="241"/>
      <c r="G50" s="241">
        <v>63994000</v>
      </c>
      <c r="H50" s="241">
        <v>1283776</v>
      </c>
      <c r="I50" s="241">
        <v>1901250</v>
      </c>
      <c r="J50" s="241">
        <v>87315788</v>
      </c>
      <c r="K50" s="241">
        <v>142028413</v>
      </c>
      <c r="L50" s="241">
        <v>5686105</v>
      </c>
      <c r="M50" s="241">
        <v>7707286</v>
      </c>
      <c r="N50" s="241">
        <v>425527080</v>
      </c>
      <c r="O50" s="241">
        <v>327292711</v>
      </c>
      <c r="P50" s="241">
        <v>922060582</v>
      </c>
      <c r="Q50" s="241">
        <v>807360604</v>
      </c>
      <c r="R50" s="241">
        <v>1130917414</v>
      </c>
      <c r="S50" s="241">
        <v>119900087332</v>
      </c>
      <c r="T50" s="241">
        <v>123646253</v>
      </c>
      <c r="U50" s="241">
        <v>72069567</v>
      </c>
      <c r="V50" s="241">
        <v>13206960</v>
      </c>
      <c r="W50" s="241">
        <v>9848271</v>
      </c>
      <c r="X50" s="241">
        <v>-1143037</v>
      </c>
      <c r="Y50" s="241">
        <v>1187511</v>
      </c>
      <c r="Z50" s="241">
        <v>0</v>
      </c>
      <c r="AA50" s="241">
        <v>0</v>
      </c>
      <c r="AB50" s="241">
        <v>0</v>
      </c>
      <c r="AC50" s="241">
        <v>-1627178</v>
      </c>
      <c r="AD50" s="241">
        <v>10389046459</v>
      </c>
      <c r="AE50" s="241">
        <v>12889738504</v>
      </c>
      <c r="AF50" s="241">
        <v>257243282</v>
      </c>
      <c r="AG50" s="241">
        <v>-32726731</v>
      </c>
      <c r="AH50" s="241">
        <v>112629538</v>
      </c>
      <c r="AI50" s="241">
        <v>57985691</v>
      </c>
      <c r="AJ50" s="241">
        <v>12305877</v>
      </c>
      <c r="AK50" s="241">
        <v>-4851737</v>
      </c>
      <c r="AL50" s="241">
        <v>54583036</v>
      </c>
      <c r="AM50" s="241">
        <v>35126788</v>
      </c>
      <c r="AN50" s="241">
        <v>7091755</v>
      </c>
      <c r="AO50" s="241">
        <v>6741317</v>
      </c>
      <c r="AP50" s="241">
        <v>141006903</v>
      </c>
      <c r="AQ50" s="241">
        <v>-278428347</v>
      </c>
      <c r="AR50" s="241">
        <v>169383030</v>
      </c>
      <c r="AS50" s="241">
        <v>442573031</v>
      </c>
      <c r="AT50" s="241">
        <v>-475816</v>
      </c>
      <c r="AU50" s="241">
        <v>-98630530</v>
      </c>
      <c r="AV50" s="241">
        <v>3594918662</v>
      </c>
      <c r="AW50" s="241">
        <v>5675392382</v>
      </c>
      <c r="AX50" s="241">
        <v>23840046</v>
      </c>
      <c r="AY50" s="241">
        <v>-27563840</v>
      </c>
      <c r="AZ50" s="241">
        <v>45080228</v>
      </c>
      <c r="BA50" s="241">
        <v>61072972</v>
      </c>
      <c r="BB50" s="241">
        <v>2031453000</v>
      </c>
      <c r="BC50" s="241">
        <v>456387000</v>
      </c>
      <c r="BD50" s="241">
        <v>-78091440</v>
      </c>
      <c r="BE50" s="241">
        <v>-138611641</v>
      </c>
      <c r="BF50" s="241">
        <v>338349972</v>
      </c>
      <c r="BG50" s="241">
        <v>287790033</v>
      </c>
      <c r="BH50" s="241">
        <v>386073011</v>
      </c>
      <c r="BI50" s="241">
        <v>420265963</v>
      </c>
      <c r="BJ50" s="241">
        <v>2203160</v>
      </c>
      <c r="BK50" s="241">
        <v>-181827591</v>
      </c>
      <c r="BL50" s="241">
        <v>-85580470</v>
      </c>
      <c r="BM50" s="241">
        <v>-40543764</v>
      </c>
      <c r="BN50" s="241">
        <v>192136355</v>
      </c>
      <c r="BO50" s="241">
        <v>-464016526</v>
      </c>
      <c r="BP50" s="241">
        <v>467191336</v>
      </c>
      <c r="BQ50" s="241">
        <v>504290791</v>
      </c>
      <c r="BR50" s="241">
        <v>31041054</v>
      </c>
      <c r="BS50" s="241">
        <v>8814574</v>
      </c>
      <c r="BT50" s="241">
        <v>156307000</v>
      </c>
      <c r="BU50" s="241">
        <v>44778000</v>
      </c>
      <c r="BV50" s="241">
        <v>20891650982</v>
      </c>
      <c r="BW50" s="241">
        <v>-20428147308</v>
      </c>
    </row>
    <row r="51" spans="1:75" s="216" customFormat="1" x14ac:dyDescent="0.2">
      <c r="A51" s="238" t="s">
        <v>101</v>
      </c>
      <c r="B51" s="241">
        <f t="shared" ref="B51:S51" si="173">+B45-B50</f>
        <v>0</v>
      </c>
      <c r="C51" s="241">
        <f t="shared" si="173"/>
        <v>0</v>
      </c>
      <c r="D51" s="241">
        <f t="shared" si="173"/>
        <v>0</v>
      </c>
      <c r="E51" s="241">
        <f t="shared" si="173"/>
        <v>0</v>
      </c>
      <c r="F51" s="241">
        <f t="shared" si="173"/>
        <v>0</v>
      </c>
      <c r="G51" s="241">
        <f t="shared" si="173"/>
        <v>0</v>
      </c>
      <c r="H51" s="241">
        <f t="shared" si="173"/>
        <v>0</v>
      </c>
      <c r="I51" s="241">
        <f t="shared" si="173"/>
        <v>0</v>
      </c>
      <c r="J51" s="241">
        <f t="shared" si="173"/>
        <v>0</v>
      </c>
      <c r="K51" s="241">
        <f t="shared" si="173"/>
        <v>0</v>
      </c>
      <c r="L51" s="241">
        <f t="shared" si="173"/>
        <v>0</v>
      </c>
      <c r="M51" s="241">
        <f t="shared" si="173"/>
        <v>0</v>
      </c>
      <c r="N51" s="241">
        <f t="shared" si="173"/>
        <v>0</v>
      </c>
      <c r="O51" s="241">
        <f t="shared" si="173"/>
        <v>0</v>
      </c>
      <c r="P51" s="241">
        <f t="shared" si="173"/>
        <v>0</v>
      </c>
      <c r="Q51" s="241">
        <f t="shared" si="173"/>
        <v>0</v>
      </c>
      <c r="R51" s="241">
        <f t="shared" si="173"/>
        <v>0</v>
      </c>
      <c r="S51" s="241">
        <f t="shared" si="173"/>
        <v>-161167746960</v>
      </c>
      <c r="T51" s="241">
        <f>+T47-T50</f>
        <v>0</v>
      </c>
      <c r="U51" s="241">
        <f>+U47-U50</f>
        <v>0</v>
      </c>
      <c r="V51" s="241">
        <f t="shared" ref="V51:AC51" si="174">+V45-V50</f>
        <v>0</v>
      </c>
      <c r="W51" s="241">
        <f t="shared" si="174"/>
        <v>0</v>
      </c>
      <c r="X51" s="241">
        <f t="shared" si="174"/>
        <v>0</v>
      </c>
      <c r="Y51" s="241">
        <f t="shared" si="174"/>
        <v>0</v>
      </c>
      <c r="Z51" s="241">
        <f t="shared" si="174"/>
        <v>0</v>
      </c>
      <c r="AA51" s="241">
        <f t="shared" si="174"/>
        <v>0</v>
      </c>
      <c r="AB51" s="241">
        <f t="shared" si="174"/>
        <v>0</v>
      </c>
      <c r="AC51" s="241">
        <f t="shared" si="174"/>
        <v>0</v>
      </c>
      <c r="AD51" s="241">
        <f t="shared" ref="AD51:AK51" si="175">+AD45-AD50</f>
        <v>0</v>
      </c>
      <c r="AE51" s="241">
        <f t="shared" si="175"/>
        <v>0</v>
      </c>
      <c r="AF51" s="241">
        <f t="shared" si="175"/>
        <v>0</v>
      </c>
      <c r="AG51" s="241">
        <f t="shared" si="175"/>
        <v>0</v>
      </c>
      <c r="AH51" s="241">
        <f t="shared" si="175"/>
        <v>0</v>
      </c>
      <c r="AI51" s="241">
        <f t="shared" si="175"/>
        <v>0</v>
      </c>
      <c r="AJ51" s="241">
        <f t="shared" si="175"/>
        <v>0</v>
      </c>
      <c r="AK51" s="241">
        <f t="shared" si="175"/>
        <v>0</v>
      </c>
      <c r="AL51" s="241">
        <f t="shared" ref="AL51" si="176">+AL45-AL50</f>
        <v>0</v>
      </c>
      <c r="AM51" s="241">
        <f t="shared" ref="AM51" si="177">+AM45-AM50</f>
        <v>0</v>
      </c>
      <c r="AN51" s="241">
        <f t="shared" ref="AN51" si="178">+AN45-AN50</f>
        <v>0</v>
      </c>
      <c r="AO51" s="241">
        <f t="shared" ref="AO51" si="179">+AO45-AO50</f>
        <v>0</v>
      </c>
      <c r="AP51" s="241">
        <f t="shared" ref="AP51" si="180">+AP45-AP50</f>
        <v>0</v>
      </c>
      <c r="AQ51" s="241">
        <f t="shared" ref="AQ51" si="181">+AQ45-AQ50</f>
        <v>0</v>
      </c>
      <c r="AR51" s="241">
        <f t="shared" ref="AR51:AT51" si="182">+AR45-AR50</f>
        <v>0</v>
      </c>
      <c r="AS51" s="241">
        <f t="shared" ref="AS51:AV51" si="183">+AS45-AS50</f>
        <v>0</v>
      </c>
      <c r="AT51" s="241">
        <f t="shared" si="182"/>
        <v>0</v>
      </c>
      <c r="AU51" s="241">
        <f t="shared" si="183"/>
        <v>0</v>
      </c>
      <c r="AV51" s="241">
        <f t="shared" si="183"/>
        <v>0</v>
      </c>
      <c r="AW51" s="241">
        <f t="shared" ref="AW51" si="184">+AW45-AW50</f>
        <v>0</v>
      </c>
      <c r="AX51" s="241">
        <f>+AX45-AX50</f>
        <v>0</v>
      </c>
      <c r="AY51" s="241">
        <f>+AY45-AY50</f>
        <v>0</v>
      </c>
      <c r="AZ51" s="241">
        <f>+AZ45-AZ50</f>
        <v>0</v>
      </c>
      <c r="BA51" s="241">
        <f>+BA45-BA50</f>
        <v>0</v>
      </c>
      <c r="BB51" s="241">
        <f t="shared" ref="BB51" si="185">+BB45-BB50</f>
        <v>0</v>
      </c>
      <c r="BC51" s="241">
        <f t="shared" ref="BC51:BD51" si="186">+BC45-BC50</f>
        <v>0</v>
      </c>
      <c r="BD51" s="241">
        <f t="shared" si="186"/>
        <v>0</v>
      </c>
      <c r="BE51" s="241">
        <f t="shared" ref="BE51" si="187">+BE45-BE50</f>
        <v>0</v>
      </c>
      <c r="BF51" s="241">
        <f t="shared" ref="BF51:BS51" si="188">+BF45-BF50</f>
        <v>0</v>
      </c>
      <c r="BG51" s="241">
        <f t="shared" si="188"/>
        <v>0</v>
      </c>
      <c r="BH51" s="241">
        <f t="shared" si="188"/>
        <v>0</v>
      </c>
      <c r="BI51" s="241">
        <f t="shared" si="188"/>
        <v>0</v>
      </c>
      <c r="BJ51" s="241">
        <f t="shared" si="188"/>
        <v>0</v>
      </c>
      <c r="BK51" s="241">
        <f t="shared" si="188"/>
        <v>0</v>
      </c>
      <c r="BL51" s="241">
        <f t="shared" si="188"/>
        <v>0</v>
      </c>
      <c r="BM51" s="241">
        <f t="shared" si="188"/>
        <v>0</v>
      </c>
      <c r="BN51" s="241">
        <f t="shared" si="188"/>
        <v>0</v>
      </c>
      <c r="BO51" s="241">
        <f t="shared" si="188"/>
        <v>0</v>
      </c>
      <c r="BP51" s="241">
        <f t="shared" si="188"/>
        <v>0</v>
      </c>
      <c r="BQ51" s="241">
        <f t="shared" si="188"/>
        <v>0</v>
      </c>
      <c r="BR51" s="241">
        <f t="shared" si="188"/>
        <v>0</v>
      </c>
      <c r="BS51" s="241">
        <f t="shared" si="188"/>
        <v>0</v>
      </c>
      <c r="BT51" s="241">
        <f t="shared" ref="BT51:BU51" si="189">+BT45-BT50</f>
        <v>0</v>
      </c>
      <c r="BU51" s="241">
        <f t="shared" si="189"/>
        <v>0</v>
      </c>
      <c r="BV51" s="241">
        <f t="shared" ref="BV51:BW51" si="190">+BV45-BV50</f>
        <v>0</v>
      </c>
      <c r="BW51" s="241">
        <f t="shared" si="190"/>
        <v>0</v>
      </c>
    </row>
    <row r="53" spans="1:75" s="238" customFormat="1" x14ac:dyDescent="0.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95"/>
      <c r="BG53" s="295"/>
      <c r="BH53" s="232"/>
      <c r="BI53" s="232"/>
      <c r="BJ53" s="232"/>
      <c r="BK53" s="232"/>
      <c r="BL53" s="232"/>
      <c r="BM53" s="232"/>
      <c r="BN53" s="232"/>
      <c r="BO53" s="232"/>
      <c r="BP53" s="232"/>
      <c r="BQ53" s="232"/>
      <c r="BR53" s="232"/>
      <c r="BS53" s="232"/>
      <c r="BT53" s="232"/>
      <c r="BU53" s="232"/>
      <c r="BV53" s="232"/>
      <c r="BW53" s="232"/>
    </row>
    <row r="54" spans="1:75" s="238" customFormat="1" x14ac:dyDescent="0.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row>
    <row r="55" spans="1:75" s="216" customFormat="1" ht="15" x14ac:dyDescent="0.2">
      <c r="A55" s="306" t="s">
        <v>196</v>
      </c>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row>
    <row r="57" spans="1:75" x14ac:dyDescent="0.2">
      <c r="A57" s="207" t="s">
        <v>105</v>
      </c>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56">
        <v>2022</v>
      </c>
      <c r="AK57" s="256">
        <v>2023</v>
      </c>
      <c r="AL57" s="256">
        <v>2022</v>
      </c>
      <c r="AM57" s="256">
        <v>2023</v>
      </c>
      <c r="AN57" s="256">
        <v>2022</v>
      </c>
      <c r="AO57" s="256">
        <v>2023</v>
      </c>
      <c r="AP57" s="256">
        <v>2022</v>
      </c>
      <c r="AQ57" s="256">
        <v>2023</v>
      </c>
      <c r="AR57" s="256">
        <v>2022</v>
      </c>
      <c r="AS57" s="256">
        <v>2023</v>
      </c>
      <c r="AT57" s="256">
        <v>2022</v>
      </c>
      <c r="AU57" s="256">
        <v>2023</v>
      </c>
      <c r="AV57" s="256">
        <v>2022</v>
      </c>
      <c r="AW57" s="256">
        <v>2023</v>
      </c>
      <c r="AX57" s="207"/>
      <c r="AY57" s="207"/>
      <c r="AZ57" s="207"/>
      <c r="BA57" s="207"/>
      <c r="BB57" s="256">
        <v>2022</v>
      </c>
      <c r="BC57" s="256">
        <v>2023</v>
      </c>
      <c r="BD57" s="256">
        <v>2022</v>
      </c>
      <c r="BE57" s="256">
        <v>2023</v>
      </c>
      <c r="BF57" s="207"/>
      <c r="BG57" s="207"/>
      <c r="BH57" s="207"/>
      <c r="BI57" s="207"/>
      <c r="BJ57" s="207"/>
      <c r="BK57" s="207"/>
      <c r="BL57" s="207"/>
      <c r="BM57" s="207"/>
      <c r="BN57" s="207"/>
      <c r="BO57" s="207"/>
      <c r="BP57" s="207"/>
      <c r="BQ57" s="207"/>
      <c r="BR57" s="207"/>
      <c r="BS57" s="207"/>
      <c r="BT57" s="207"/>
      <c r="BU57" s="207"/>
      <c r="BV57" s="207"/>
      <c r="BW57" s="207"/>
    </row>
    <row r="58" spans="1:75" ht="24" x14ac:dyDescent="0.2">
      <c r="A58" s="249" t="s">
        <v>195</v>
      </c>
      <c r="B58" s="206">
        <f t="shared" ref="B58:AG58" si="191">IFERROR(B10/B14,0)</f>
        <v>0.37314147625481697</v>
      </c>
      <c r="C58" s="206">
        <f t="shared" si="191"/>
        <v>0.2588004465401787</v>
      </c>
      <c r="D58" s="206">
        <f t="shared" si="191"/>
        <v>2.0745395595705536</v>
      </c>
      <c r="E58" s="206">
        <f t="shared" si="191"/>
        <v>1.7393555650345061</v>
      </c>
      <c r="F58" s="206">
        <f t="shared" si="191"/>
        <v>0</v>
      </c>
      <c r="G58" s="206">
        <f t="shared" si="191"/>
        <v>3.1957310223078159</v>
      </c>
      <c r="H58" s="206">
        <f t="shared" si="191"/>
        <v>5.2004040028814318</v>
      </c>
      <c r="I58" s="206">
        <f t="shared" si="191"/>
        <v>11.484236749215231</v>
      </c>
      <c r="J58" s="206">
        <f t="shared" si="191"/>
        <v>2.7341670742931319</v>
      </c>
      <c r="K58" s="206">
        <f t="shared" si="191"/>
        <v>3.4382244542202574</v>
      </c>
      <c r="L58" s="206">
        <f t="shared" si="191"/>
        <v>4.5044379854643557</v>
      </c>
      <c r="M58" s="206">
        <f t="shared" si="191"/>
        <v>7.4912130512411075</v>
      </c>
      <c r="N58" s="206">
        <f t="shared" si="191"/>
        <v>1.4923560488093519</v>
      </c>
      <c r="O58" s="206">
        <f t="shared" si="191"/>
        <v>2.3732352129371912</v>
      </c>
      <c r="P58" s="206">
        <f t="shared" si="191"/>
        <v>4.3355346597293192</v>
      </c>
      <c r="Q58" s="206">
        <f t="shared" si="191"/>
        <v>5.3860037604200324</v>
      </c>
      <c r="R58" s="206">
        <f t="shared" si="191"/>
        <v>4.955255884775382</v>
      </c>
      <c r="S58" s="206">
        <f t="shared" si="191"/>
        <v>4.6166603811279385</v>
      </c>
      <c r="T58" s="206">
        <f t="shared" si="191"/>
        <v>7.7113021331764831</v>
      </c>
      <c r="U58" s="206">
        <f t="shared" si="191"/>
        <v>5.8693329678226132</v>
      </c>
      <c r="V58" s="206">
        <f t="shared" si="191"/>
        <v>2.510377645033917</v>
      </c>
      <c r="W58" s="206">
        <f t="shared" si="191"/>
        <v>2.410248624903097</v>
      </c>
      <c r="X58" s="206">
        <f t="shared" si="191"/>
        <v>5.8472480365133856</v>
      </c>
      <c r="Y58" s="206">
        <f t="shared" si="191"/>
        <v>3.5540279662254304</v>
      </c>
      <c r="Z58" s="206">
        <f t="shared" si="191"/>
        <v>0</v>
      </c>
      <c r="AA58" s="206">
        <f t="shared" si="191"/>
        <v>0</v>
      </c>
      <c r="AB58" s="206">
        <f t="shared" si="191"/>
        <v>0</v>
      </c>
      <c r="AC58" s="206">
        <f t="shared" si="191"/>
        <v>83.886162353780591</v>
      </c>
      <c r="AD58" s="206">
        <f t="shared" si="191"/>
        <v>1.3869180315670355</v>
      </c>
      <c r="AE58" s="206">
        <f t="shared" si="191"/>
        <v>1.7258161846724041</v>
      </c>
      <c r="AF58" s="206">
        <f t="shared" si="191"/>
        <v>2.2359830594087722</v>
      </c>
      <c r="AG58" s="206">
        <f t="shared" si="191"/>
        <v>9.0297117809259344</v>
      </c>
      <c r="AH58" s="206">
        <f t="shared" ref="AH58:BW58" si="192">IFERROR(AH10/AH14,0)</f>
        <v>64.429648121076625</v>
      </c>
      <c r="AI58" s="206">
        <f t="shared" si="192"/>
        <v>33.593381509357201</v>
      </c>
      <c r="AJ58" s="206">
        <f t="shared" si="192"/>
        <v>1.3588500533241354</v>
      </c>
      <c r="AK58" s="206">
        <f t="shared" si="192"/>
        <v>1.1505191002758213</v>
      </c>
      <c r="AL58" s="206">
        <f t="shared" si="192"/>
        <v>0.9882719207515972</v>
      </c>
      <c r="AM58" s="206">
        <f t="shared" si="192"/>
        <v>4.3085417365061085</v>
      </c>
      <c r="AN58" s="206">
        <f t="shared" si="192"/>
        <v>2.409301797756529</v>
      </c>
      <c r="AO58" s="206">
        <f t="shared" si="192"/>
        <v>2.4435431363356899</v>
      </c>
      <c r="AP58" s="206">
        <f t="shared" si="192"/>
        <v>3.0100590072118436</v>
      </c>
      <c r="AQ58" s="206">
        <f t="shared" si="192"/>
        <v>2.1404719400931316</v>
      </c>
      <c r="AR58" s="206">
        <f t="shared" si="192"/>
        <v>15.335499962616689</v>
      </c>
      <c r="AS58" s="206">
        <f t="shared" si="192"/>
        <v>10.031901877481504</v>
      </c>
      <c r="AT58" s="206">
        <f t="shared" si="192"/>
        <v>2.1935439616306604E-2</v>
      </c>
      <c r="AU58" s="206">
        <f t="shared" si="192"/>
        <v>0.2014125806062744</v>
      </c>
      <c r="AV58" s="206">
        <f t="shared" si="192"/>
        <v>1.2261767444188114</v>
      </c>
      <c r="AW58" s="206">
        <f t="shared" si="192"/>
        <v>1.4781995804076886</v>
      </c>
      <c r="AX58" s="206">
        <f t="shared" si="192"/>
        <v>2.6047602112378758</v>
      </c>
      <c r="AY58" s="206">
        <f t="shared" si="192"/>
        <v>2.6752952672349397</v>
      </c>
      <c r="AZ58" s="206">
        <f t="shared" si="192"/>
        <v>3.698658383885487</v>
      </c>
      <c r="BA58" s="206">
        <f t="shared" si="192"/>
        <v>3.2433799812758721</v>
      </c>
      <c r="BB58" s="206">
        <f t="shared" si="192"/>
        <v>1.4912928881604417</v>
      </c>
      <c r="BC58" s="206">
        <f t="shared" si="192"/>
        <v>1.634390670241697</v>
      </c>
      <c r="BD58" s="206">
        <f t="shared" si="192"/>
        <v>0.37314147625481697</v>
      </c>
      <c r="BE58" s="206">
        <f t="shared" si="192"/>
        <v>0.2588004465401787</v>
      </c>
      <c r="BF58" s="206">
        <f>IFERROR(BF10/BF14,0)</f>
        <v>2.0120156383752654</v>
      </c>
      <c r="BG58" s="206">
        <f>IFERROR(BG10/BG14,0)</f>
        <v>1.8370745810570537</v>
      </c>
      <c r="BH58" s="206">
        <f>IFERROR(BH10/BH14,0)</f>
        <v>3.0406626327070492</v>
      </c>
      <c r="BI58" s="206">
        <f>IFERROR(BI10/BI14,0)</f>
        <v>2.3583131548735188</v>
      </c>
      <c r="BJ58" s="206"/>
      <c r="BK58" s="206"/>
      <c r="BL58" s="206"/>
      <c r="BM58" s="206"/>
      <c r="BN58" s="206"/>
      <c r="BO58" s="206"/>
      <c r="BP58" s="206"/>
      <c r="BQ58" s="206"/>
      <c r="BR58" s="206"/>
      <c r="BS58" s="206"/>
      <c r="BT58" s="206"/>
      <c r="BU58" s="206"/>
      <c r="BV58" s="206">
        <f t="shared" si="192"/>
        <v>1.4358194449139401</v>
      </c>
      <c r="BW58" s="206">
        <f t="shared" si="192"/>
        <v>1.7990194064732146</v>
      </c>
    </row>
    <row r="59" spans="1:75" x14ac:dyDescent="0.2">
      <c r="A59" s="207" t="s">
        <v>106</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row>
    <row r="60" spans="1:75" x14ac:dyDescent="0.2">
      <c r="A60" s="96" t="s">
        <v>74</v>
      </c>
      <c r="B60" s="87">
        <f t="shared" ref="B60:AG60" si="193">IFERROR(B14/B16,0)</f>
        <v>1</v>
      </c>
      <c r="C60" s="87">
        <f t="shared" si="193"/>
        <v>0.45607413351927284</v>
      </c>
      <c r="D60" s="87">
        <f t="shared" si="193"/>
        <v>0.33867520219335728</v>
      </c>
      <c r="E60" s="87">
        <f t="shared" si="193"/>
        <v>0.28687105221663178</v>
      </c>
      <c r="F60" s="87">
        <f t="shared" si="193"/>
        <v>0</v>
      </c>
      <c r="G60" s="87">
        <f t="shared" si="193"/>
        <v>0.42094443961898143</v>
      </c>
      <c r="H60" s="87">
        <f t="shared" si="193"/>
        <v>1</v>
      </c>
      <c r="I60" s="87">
        <f t="shared" si="193"/>
        <v>1</v>
      </c>
      <c r="J60" s="87">
        <f t="shared" si="193"/>
        <v>0.399895717961746</v>
      </c>
      <c r="K60" s="87">
        <f t="shared" si="193"/>
        <v>0.36585028650307799</v>
      </c>
      <c r="L60" s="87">
        <f t="shared" si="193"/>
        <v>1</v>
      </c>
      <c r="M60" s="87">
        <f t="shared" si="193"/>
        <v>1</v>
      </c>
      <c r="N60" s="87">
        <f t="shared" si="193"/>
        <v>0.69494114977872867</v>
      </c>
      <c r="O60" s="87">
        <f t="shared" si="193"/>
        <v>0.48094702992372718</v>
      </c>
      <c r="P60" s="87">
        <f t="shared" si="193"/>
        <v>0.23815262723707811</v>
      </c>
      <c r="Q60" s="87">
        <f t="shared" si="193"/>
        <v>0.18502697391894121</v>
      </c>
      <c r="R60" s="87">
        <f t="shared" si="193"/>
        <v>0.30883259214993597</v>
      </c>
      <c r="S60" s="87">
        <f t="shared" si="193"/>
        <v>0.38062320308330799</v>
      </c>
      <c r="T60" s="87">
        <f t="shared" si="193"/>
        <v>0.92937750884326598</v>
      </c>
      <c r="U60" s="87">
        <f t="shared" si="193"/>
        <v>0.96119438290826253</v>
      </c>
      <c r="V60" s="87">
        <f t="shared" si="193"/>
        <v>1</v>
      </c>
      <c r="W60" s="87">
        <f t="shared" si="193"/>
        <v>1</v>
      </c>
      <c r="X60" s="87">
        <f t="shared" si="193"/>
        <v>1</v>
      </c>
      <c r="Y60" s="87">
        <f t="shared" si="193"/>
        <v>1</v>
      </c>
      <c r="Z60" s="87">
        <f t="shared" si="193"/>
        <v>0</v>
      </c>
      <c r="AA60" s="87">
        <f t="shared" si="193"/>
        <v>0</v>
      </c>
      <c r="AB60" s="87">
        <f t="shared" si="193"/>
        <v>0</v>
      </c>
      <c r="AC60" s="87">
        <f t="shared" si="193"/>
        <v>1.1220965063144952E-2</v>
      </c>
      <c r="AD60" s="87">
        <f t="shared" si="193"/>
        <v>0.96288903071690024</v>
      </c>
      <c r="AE60" s="87">
        <f t="shared" si="193"/>
        <v>0.90753972842212682</v>
      </c>
      <c r="AF60" s="87">
        <f t="shared" si="193"/>
        <v>0.49215080060276539</v>
      </c>
      <c r="AG60" s="87">
        <f t="shared" si="193"/>
        <v>0.14776582873792382</v>
      </c>
      <c r="AH60" s="87">
        <f t="shared" ref="AH60:BW60" si="194">IFERROR(AH14/AH16,0)</f>
        <v>1</v>
      </c>
      <c r="AI60" s="87">
        <f t="shared" si="194"/>
        <v>1</v>
      </c>
      <c r="AJ60" s="87">
        <f t="shared" si="194"/>
        <v>0.95923765050539433</v>
      </c>
      <c r="AK60" s="87">
        <f t="shared" si="194"/>
        <v>0.93128270951790282</v>
      </c>
      <c r="AL60" s="87">
        <f t="shared" si="194"/>
        <v>0.11741532111068799</v>
      </c>
      <c r="AM60" s="87">
        <f t="shared" si="194"/>
        <v>4.2792394492492745E-2</v>
      </c>
      <c r="AN60" s="87">
        <f t="shared" si="194"/>
        <v>1</v>
      </c>
      <c r="AO60" s="87">
        <f t="shared" si="194"/>
        <v>1</v>
      </c>
      <c r="AP60" s="87">
        <f t="shared" si="194"/>
        <v>0.51861982652075067</v>
      </c>
      <c r="AQ60" s="87">
        <f t="shared" si="194"/>
        <v>0.57311174629272632</v>
      </c>
      <c r="AR60" s="87">
        <f t="shared" si="194"/>
        <v>1</v>
      </c>
      <c r="AS60" s="87">
        <f t="shared" si="194"/>
        <v>1</v>
      </c>
      <c r="AT60" s="87">
        <f t="shared" si="194"/>
        <v>1</v>
      </c>
      <c r="AU60" s="87">
        <f t="shared" si="194"/>
        <v>1</v>
      </c>
      <c r="AV60" s="87">
        <f t="shared" si="194"/>
        <v>0.86367986364960103</v>
      </c>
      <c r="AW60" s="87">
        <f t="shared" si="194"/>
        <v>0.76050649036473972</v>
      </c>
      <c r="AX60" s="87">
        <f t="shared" si="194"/>
        <v>1</v>
      </c>
      <c r="AY60" s="87">
        <f t="shared" si="194"/>
        <v>1</v>
      </c>
      <c r="AZ60" s="87">
        <f t="shared" si="194"/>
        <v>0.17924252011293842</v>
      </c>
      <c r="BA60" s="87">
        <f t="shared" si="194"/>
        <v>7.885738247931616E-2</v>
      </c>
      <c r="BB60" s="87">
        <f t="shared" si="194"/>
        <v>1</v>
      </c>
      <c r="BC60" s="87">
        <f t="shared" si="194"/>
        <v>0.99755530675585669</v>
      </c>
      <c r="BD60" s="87">
        <f t="shared" si="194"/>
        <v>1</v>
      </c>
      <c r="BE60" s="87">
        <f t="shared" si="194"/>
        <v>0.45607413351927284</v>
      </c>
      <c r="BF60" s="87">
        <f>IFERROR(BF14/BF16,0)</f>
        <v>1</v>
      </c>
      <c r="BG60" s="87">
        <f>IFERROR(BG14/BG16,0)</f>
        <v>0.94346248025903012</v>
      </c>
      <c r="BH60" s="87">
        <f>IFERROR(BH14/BH16,0)</f>
        <v>0.94505841944343172</v>
      </c>
      <c r="BI60" s="87">
        <f>IFERROR(BI14/BI16,0)</f>
        <v>0.73122301752293961</v>
      </c>
      <c r="BJ60" s="87"/>
      <c r="BK60" s="87"/>
      <c r="BL60" s="87"/>
      <c r="BM60" s="87"/>
      <c r="BN60" s="87"/>
      <c r="BO60" s="87"/>
      <c r="BP60" s="87"/>
      <c r="BQ60" s="87"/>
      <c r="BR60" s="87"/>
      <c r="BS60" s="87"/>
      <c r="BT60" s="87"/>
      <c r="BU60" s="87"/>
      <c r="BV60" s="87">
        <f t="shared" si="194"/>
        <v>0.90947885569000009</v>
      </c>
      <c r="BW60" s="87">
        <f t="shared" si="194"/>
        <v>0.81805125630402875</v>
      </c>
    </row>
    <row r="61" spans="1:75" x14ac:dyDescent="0.2">
      <c r="A61" s="96" t="s">
        <v>75</v>
      </c>
      <c r="B61" s="86">
        <f t="shared" ref="B61:AG61" si="195">IFERROR(B16/B32,0)</f>
        <v>6.6967065339844325</v>
      </c>
      <c r="C61" s="86">
        <f t="shared" si="195"/>
        <v>-1.7806396211457052</v>
      </c>
      <c r="D61" s="86">
        <f t="shared" si="195"/>
        <v>0.30453286343925462</v>
      </c>
      <c r="E61" s="86">
        <f t="shared" si="195"/>
        <v>0.42610039123597299</v>
      </c>
      <c r="F61" s="86">
        <f t="shared" si="195"/>
        <v>0</v>
      </c>
      <c r="G61" s="86">
        <f t="shared" si="195"/>
        <v>0.78025554447781154</v>
      </c>
      <c r="H61" s="86">
        <f t="shared" si="195"/>
        <v>2.1262873617460112E-2</v>
      </c>
      <c r="I61" s="86">
        <f t="shared" si="195"/>
        <v>8.9087195598084607E-3</v>
      </c>
      <c r="J61" s="86">
        <f t="shared" si="195"/>
        <v>4.0004008700212728</v>
      </c>
      <c r="K61" s="86">
        <f t="shared" si="195"/>
        <v>2.5676101021929241</v>
      </c>
      <c r="L61" s="86">
        <f t="shared" si="195"/>
        <v>0.23280097798208457</v>
      </c>
      <c r="M61" s="86">
        <f t="shared" si="195"/>
        <v>0.12811395494327935</v>
      </c>
      <c r="N61" s="86">
        <f t="shared" si="195"/>
        <v>2.4347234543622491</v>
      </c>
      <c r="O61" s="86">
        <f t="shared" si="195"/>
        <v>1.7872830980474332</v>
      </c>
      <c r="P61" s="86">
        <f t="shared" si="195"/>
        <v>2.4882897240876267</v>
      </c>
      <c r="Q61" s="86">
        <f t="shared" si="195"/>
        <v>2.6588718035299213</v>
      </c>
      <c r="R61" s="86">
        <f t="shared" si="195"/>
        <v>0.4725752058533681</v>
      </c>
      <c r="S61" s="86">
        <f t="shared" si="195"/>
        <v>0.48821961430880023</v>
      </c>
      <c r="T61" s="86">
        <f t="shared" si="195"/>
        <v>0.12458799670137506</v>
      </c>
      <c r="U61" s="86">
        <f t="shared" si="195"/>
        <v>0.17651189709561504</v>
      </c>
      <c r="V61" s="86">
        <f t="shared" si="195"/>
        <v>1.4919364888512603E-2</v>
      </c>
      <c r="W61" s="86">
        <f t="shared" si="195"/>
        <v>1.0313206295944229E-2</v>
      </c>
      <c r="X61" s="86">
        <f t="shared" si="195"/>
        <v>0.18443894230446822</v>
      </c>
      <c r="Y61" s="86">
        <f t="shared" si="195"/>
        <v>0.36109803714616889</v>
      </c>
      <c r="Z61" s="86">
        <f t="shared" si="195"/>
        <v>0</v>
      </c>
      <c r="AA61" s="86">
        <f t="shared" si="195"/>
        <v>0</v>
      </c>
      <c r="AB61" s="86">
        <f t="shared" si="195"/>
        <v>0</v>
      </c>
      <c r="AC61" s="86">
        <f t="shared" si="195"/>
        <v>18.481157562118565</v>
      </c>
      <c r="AD61" s="86">
        <f t="shared" si="195"/>
        <v>2.6933278195691894</v>
      </c>
      <c r="AE61" s="86">
        <f t="shared" si="195"/>
        <v>1.5839317710947507</v>
      </c>
      <c r="AF61" s="86">
        <f t="shared" si="195"/>
        <v>1.1385023002539816</v>
      </c>
      <c r="AG61" s="86">
        <f t="shared" si="195"/>
        <v>0.61843885938450194</v>
      </c>
      <c r="AH61" s="86">
        <f t="shared" ref="AH61:BW61" si="196">IFERROR(AH16/AH32,0)</f>
        <v>1.5765498148297571E-2</v>
      </c>
      <c r="AI61" s="86">
        <f t="shared" si="196"/>
        <v>3.0681075534089983E-2</v>
      </c>
      <c r="AJ61" s="86">
        <f t="shared" si="196"/>
        <v>1.2019009335771365</v>
      </c>
      <c r="AK61" s="86">
        <f t="shared" si="196"/>
        <v>1.7334568170232527</v>
      </c>
      <c r="AL61" s="86">
        <f t="shared" si="196"/>
        <v>5.3703175530688521</v>
      </c>
      <c r="AM61" s="86">
        <f t="shared" si="196"/>
        <v>4.5736611479303226</v>
      </c>
      <c r="AN61" s="86">
        <f t="shared" si="196"/>
        <v>3.9098524086151686E-2</v>
      </c>
      <c r="AO61" s="86">
        <f t="shared" si="196"/>
        <v>4.6569698161715925E-2</v>
      </c>
      <c r="AP61" s="86">
        <f t="shared" si="196"/>
        <v>0.32517437101789654</v>
      </c>
      <c r="AQ61" s="86">
        <f t="shared" si="196"/>
        <v>0.26094245144533257</v>
      </c>
      <c r="AR61" s="86">
        <f t="shared" si="196"/>
        <v>5.8034363585859672E-2</v>
      </c>
      <c r="AS61" s="86">
        <f t="shared" si="196"/>
        <v>9.3222157067872638E-2</v>
      </c>
      <c r="AT61" s="86">
        <f t="shared" si="196"/>
        <v>10.840717631785026</v>
      </c>
      <c r="AU61" s="86">
        <f t="shared" si="196"/>
        <v>-1.9984306544508315</v>
      </c>
      <c r="AV61" s="86">
        <f t="shared" si="196"/>
        <v>1.7226354312549272</v>
      </c>
      <c r="AW61" s="86">
        <f t="shared" si="196"/>
        <v>1.4166879261110776</v>
      </c>
      <c r="AX61" s="86">
        <f t="shared" si="196"/>
        <v>0.20060595179992016</v>
      </c>
      <c r="AY61" s="86">
        <f t="shared" si="196"/>
        <v>0.17458739750068578</v>
      </c>
      <c r="AZ61" s="86">
        <f t="shared" si="196"/>
        <v>0.58052097141399228</v>
      </c>
      <c r="BA61" s="86">
        <f t="shared" si="196"/>
        <v>0.6271644265274714</v>
      </c>
      <c r="BB61" s="86">
        <f t="shared" si="196"/>
        <v>1.4044507024004336</v>
      </c>
      <c r="BC61" s="86">
        <f t="shared" si="196"/>
        <v>1.2673127390563401</v>
      </c>
      <c r="BD61" s="86">
        <f t="shared" si="196"/>
        <v>6.6967065339844325</v>
      </c>
      <c r="BE61" s="86">
        <f t="shared" si="196"/>
        <v>-1.7806396356248979</v>
      </c>
      <c r="BF61" s="86">
        <f>IFERROR(BF16/BF32,0)</f>
        <v>0.77577997069132898</v>
      </c>
      <c r="BG61" s="86">
        <f>IFERROR(BG16/BG32,0)</f>
        <v>0.87949757328265143</v>
      </c>
      <c r="BH61" s="86">
        <f>IFERROR(BH16/BH32,0)</f>
        <v>0.31299234691771133</v>
      </c>
      <c r="BI61" s="86">
        <f>IFERROR(BI16/BI32,0)</f>
        <v>0.60770296601996132</v>
      </c>
      <c r="BJ61" s="86"/>
      <c r="BK61" s="86"/>
      <c r="BL61" s="86"/>
      <c r="BM61" s="86"/>
      <c r="BN61" s="86"/>
      <c r="BO61" s="86"/>
      <c r="BP61" s="86"/>
      <c r="BQ61" s="86"/>
      <c r="BR61" s="86"/>
      <c r="BS61" s="86"/>
      <c r="BT61" s="86"/>
      <c r="BU61" s="86"/>
      <c r="BV61" s="86">
        <f t="shared" si="196"/>
        <v>2.0554830763986054</v>
      </c>
      <c r="BW61" s="86">
        <f t="shared" si="196"/>
        <v>1.3570069137967387</v>
      </c>
    </row>
    <row r="62" spans="1:75" x14ac:dyDescent="0.2">
      <c r="A62" s="97" t="s">
        <v>76</v>
      </c>
      <c r="B62" s="86">
        <f t="shared" ref="B62:AG62" si="197">IFERROR(B15/B32,0)</f>
        <v>0</v>
      </c>
      <c r="C62" s="86">
        <f t="shared" si="197"/>
        <v>-0.96853594882159144</v>
      </c>
      <c r="D62" s="86">
        <f t="shared" si="197"/>
        <v>0.201395134339443</v>
      </c>
      <c r="E62" s="86">
        <f t="shared" si="197"/>
        <v>0.30386452365219097</v>
      </c>
      <c r="F62" s="86">
        <f t="shared" si="197"/>
        <v>0</v>
      </c>
      <c r="G62" s="86">
        <f t="shared" si="197"/>
        <v>0.45181131154799592</v>
      </c>
      <c r="H62" s="86">
        <f t="shared" si="197"/>
        <v>0</v>
      </c>
      <c r="I62" s="86">
        <f t="shared" si="197"/>
        <v>0</v>
      </c>
      <c r="J62" s="86">
        <f t="shared" si="197"/>
        <v>2.4006576919693225</v>
      </c>
      <c r="K62" s="86">
        <f t="shared" si="197"/>
        <v>1.6282492106774453</v>
      </c>
      <c r="L62" s="86">
        <f t="shared" si="197"/>
        <v>0</v>
      </c>
      <c r="M62" s="86">
        <f t="shared" si="197"/>
        <v>0</v>
      </c>
      <c r="N62" s="86">
        <f t="shared" si="197"/>
        <v>0.74273393759450979</v>
      </c>
      <c r="O62" s="86">
        <f t="shared" si="197"/>
        <v>0.92769460040864249</v>
      </c>
      <c r="P62" s="86">
        <f t="shared" si="197"/>
        <v>1.8956969889691344</v>
      </c>
      <c r="Q62" s="86">
        <f t="shared" si="197"/>
        <v>2.1669087996843825</v>
      </c>
      <c r="R62" s="86">
        <f t="shared" si="197"/>
        <v>0.32662858004388284</v>
      </c>
      <c r="S62" s="86">
        <f t="shared" si="197"/>
        <v>0.30239190090248746</v>
      </c>
      <c r="T62" s="86">
        <f t="shared" si="197"/>
        <v>8.7987146952780721E-3</v>
      </c>
      <c r="U62" s="86">
        <f t="shared" si="197"/>
        <v>6.8496530908285962E-3</v>
      </c>
      <c r="V62" s="86">
        <f t="shared" si="197"/>
        <v>0</v>
      </c>
      <c r="W62" s="86">
        <f t="shared" si="197"/>
        <v>0</v>
      </c>
      <c r="X62" s="86">
        <f t="shared" si="197"/>
        <v>0</v>
      </c>
      <c r="Y62" s="86">
        <f t="shared" si="197"/>
        <v>0</v>
      </c>
      <c r="Z62" s="86">
        <f t="shared" si="197"/>
        <v>0</v>
      </c>
      <c r="AA62" s="86">
        <f t="shared" si="197"/>
        <v>0</v>
      </c>
      <c r="AB62" s="86">
        <f t="shared" si="197"/>
        <v>0</v>
      </c>
      <c r="AC62" s="86">
        <f t="shared" si="197"/>
        <v>18.273781138787555</v>
      </c>
      <c r="AD62" s="86">
        <f t="shared" si="197"/>
        <v>9.9952005981350303E-2</v>
      </c>
      <c r="AE62" s="86">
        <f t="shared" si="197"/>
        <v>0.14645076171624236</v>
      </c>
      <c r="AF62" s="86">
        <f t="shared" si="197"/>
        <v>0.57818748169589451</v>
      </c>
      <c r="AG62" s="86">
        <f t="shared" si="197"/>
        <v>0.52705472880381465</v>
      </c>
      <c r="AH62" s="86">
        <f t="shared" ref="AH62:BE62" si="198">IFERROR(AH15/AH32,0)</f>
        <v>0</v>
      </c>
      <c r="AI62" s="86">
        <f t="shared" si="198"/>
        <v>0</v>
      </c>
      <c r="AJ62" s="86">
        <f t="shared" si="198"/>
        <v>4.8992305912364094E-2</v>
      </c>
      <c r="AK62" s="86">
        <f t="shared" si="198"/>
        <v>0.1191184556335584</v>
      </c>
      <c r="AL62" s="86">
        <f t="shared" si="198"/>
        <v>4.7397599931089092</v>
      </c>
      <c r="AM62" s="86">
        <f t="shared" si="198"/>
        <v>4.3779432358131007</v>
      </c>
      <c r="AN62" s="86">
        <f t="shared" si="198"/>
        <v>0</v>
      </c>
      <c r="AO62" s="86">
        <f t="shared" si="198"/>
        <v>0</v>
      </c>
      <c r="AP62" s="86">
        <f t="shared" si="198"/>
        <v>0.15653249513160081</v>
      </c>
      <c r="AQ62" s="86">
        <f t="shared" si="198"/>
        <v>0.11139326741559308</v>
      </c>
      <c r="AR62" s="86">
        <f t="shared" si="198"/>
        <v>0</v>
      </c>
      <c r="AS62" s="86">
        <f t="shared" si="198"/>
        <v>0</v>
      </c>
      <c r="AT62" s="86">
        <f t="shared" si="198"/>
        <v>0</v>
      </c>
      <c r="AU62" s="86">
        <f t="shared" si="198"/>
        <v>0</v>
      </c>
      <c r="AV62" s="86">
        <f t="shared" si="198"/>
        <v>0.23482989687069997</v>
      </c>
      <c r="AW62" s="86">
        <f t="shared" si="198"/>
        <v>0.33928756348224021</v>
      </c>
      <c r="AX62" s="86">
        <f t="shared" si="198"/>
        <v>0</v>
      </c>
      <c r="AY62" s="86">
        <f t="shared" si="198"/>
        <v>0</v>
      </c>
      <c r="AZ62" s="86">
        <f t="shared" si="198"/>
        <v>0.47646692951933722</v>
      </c>
      <c r="BA62" s="86">
        <f t="shared" si="198"/>
        <v>0.57770788146737362</v>
      </c>
      <c r="BB62" s="86">
        <f t="shared" si="198"/>
        <v>0</v>
      </c>
      <c r="BC62" s="86">
        <f t="shared" si="198"/>
        <v>3.0981908913878583E-3</v>
      </c>
      <c r="BD62" s="86">
        <f t="shared" si="198"/>
        <v>0</v>
      </c>
      <c r="BE62" s="86">
        <f t="shared" si="198"/>
        <v>-0.96853595669719894</v>
      </c>
      <c r="BF62" s="86">
        <f>IFERROR(BF15/BF32,0)</f>
        <v>0</v>
      </c>
      <c r="BG62" s="86">
        <f>IFERROR(BG15/BG32,0)</f>
        <v>4.9724611411603045E-2</v>
      </c>
      <c r="BH62" s="86">
        <f>IFERROR(BH15/BH32,0)</f>
        <v>1.7196294241768811E-2</v>
      </c>
      <c r="BI62" s="86">
        <f>IFERROR(BI15/BI32,0)</f>
        <v>0.16333656944920483</v>
      </c>
      <c r="BJ62" s="86"/>
      <c r="BK62" s="86"/>
      <c r="BL62" s="86"/>
      <c r="BM62" s="86"/>
      <c r="BN62" s="86"/>
      <c r="BO62" s="86"/>
      <c r="BP62" s="86"/>
      <c r="BQ62" s="86"/>
      <c r="BR62" s="86"/>
      <c r="BS62" s="86"/>
      <c r="BT62" s="86"/>
      <c r="BU62" s="86"/>
      <c r="BV62" s="86">
        <f>IFERROR(BV18/BV32,0)</f>
        <v>0.27934036878936669</v>
      </c>
      <c r="BW62" s="86">
        <f>IFERROR(BW18/BW32,0)</f>
        <v>0.2610992409769487</v>
      </c>
    </row>
    <row r="63" spans="1:75" x14ac:dyDescent="0.2">
      <c r="A63" s="96" t="s">
        <v>77</v>
      </c>
      <c r="B63" s="86">
        <f t="shared" ref="B63:AG63" si="199">IFERROR(B16/B12,0)</f>
        <v>0.87007429793710478</v>
      </c>
      <c r="C63" s="86">
        <f t="shared" si="199"/>
        <v>2.2810008266456561</v>
      </c>
      <c r="D63" s="86">
        <f t="shared" si="199"/>
        <v>0.2334420787502339</v>
      </c>
      <c r="E63" s="86">
        <f t="shared" si="199"/>
        <v>0.29878709370991774</v>
      </c>
      <c r="F63" s="86">
        <f t="shared" si="199"/>
        <v>0</v>
      </c>
      <c r="G63" s="86">
        <f t="shared" si="199"/>
        <v>0.43828288972226054</v>
      </c>
      <c r="H63" s="86">
        <f t="shared" si="199"/>
        <v>2.0820176828854998E-2</v>
      </c>
      <c r="I63" s="86">
        <f t="shared" si="199"/>
        <v>8.8300550754436703E-3</v>
      </c>
      <c r="J63" s="86">
        <f t="shared" si="199"/>
        <v>0.80001603351537975</v>
      </c>
      <c r="K63" s="86">
        <f t="shared" si="199"/>
        <v>0.71970031159365644</v>
      </c>
      <c r="L63" s="86">
        <f t="shared" si="199"/>
        <v>0.18883906010777654</v>
      </c>
      <c r="M63" s="86">
        <f t="shared" si="199"/>
        <v>0.11356472844068381</v>
      </c>
      <c r="N63" s="86">
        <f t="shared" si="199"/>
        <v>0.70885574536431561</v>
      </c>
      <c r="O63" s="86">
        <f t="shared" si="199"/>
        <v>0.64122768846102252</v>
      </c>
      <c r="P63" s="86">
        <f t="shared" si="199"/>
        <v>0.71332656427741159</v>
      </c>
      <c r="Q63" s="86">
        <f t="shared" si="199"/>
        <v>0.72669170889364221</v>
      </c>
      <c r="R63" s="86">
        <f t="shared" si="199"/>
        <v>0.3209175354677436</v>
      </c>
      <c r="S63" s="86">
        <f t="shared" si="199"/>
        <v>0.32805616161399176</v>
      </c>
      <c r="T63" s="86">
        <f t="shared" si="199"/>
        <v>0.11078545837837034</v>
      </c>
      <c r="U63" s="86">
        <f t="shared" si="199"/>
        <v>0.15002984460366228</v>
      </c>
      <c r="V63" s="86">
        <f t="shared" si="199"/>
        <v>1.4700049486346605E-2</v>
      </c>
      <c r="W63" s="86">
        <f t="shared" si="199"/>
        <v>1.0207929809959597E-2</v>
      </c>
      <c r="X63" s="86">
        <f t="shared" si="199"/>
        <v>0.15571840448408433</v>
      </c>
      <c r="Y63" s="86">
        <f t="shared" si="199"/>
        <v>0.26529906538054204</v>
      </c>
      <c r="Z63" s="86">
        <f t="shared" si="199"/>
        <v>0</v>
      </c>
      <c r="AA63" s="86">
        <f t="shared" si="199"/>
        <v>0</v>
      </c>
      <c r="AB63" s="86">
        <f t="shared" si="199"/>
        <v>0</v>
      </c>
      <c r="AC63" s="86">
        <f t="shared" si="199"/>
        <v>0.94866834802750544</v>
      </c>
      <c r="AD63" s="86">
        <f t="shared" si="199"/>
        <v>0.7292414730418797</v>
      </c>
      <c r="AE63" s="86">
        <f t="shared" si="199"/>
        <v>0.61299287729399932</v>
      </c>
      <c r="AF63" s="86">
        <f t="shared" si="199"/>
        <v>0.53238301409297806</v>
      </c>
      <c r="AG63" s="86">
        <f t="shared" si="199"/>
        <v>0.38212061938484132</v>
      </c>
      <c r="AH63" s="86">
        <f t="shared" ref="AH63:BW63" si="200">IFERROR(AH16/AH12,0)</f>
        <v>1.5520804926961474E-2</v>
      </c>
      <c r="AI63" s="86">
        <f t="shared" si="200"/>
        <v>2.9767768383824562E-2</v>
      </c>
      <c r="AJ63" s="86">
        <f t="shared" si="200"/>
        <v>0.54584696125477694</v>
      </c>
      <c r="AK63" s="86">
        <f t="shared" si="200"/>
        <v>0.63416286887275408</v>
      </c>
      <c r="AL63" s="86">
        <f t="shared" si="200"/>
        <v>0.84302195429515792</v>
      </c>
      <c r="AM63" s="86">
        <f t="shared" si="200"/>
        <v>0.82058471560092383</v>
      </c>
      <c r="AN63" s="86">
        <f t="shared" si="200"/>
        <v>3.7627350227003142E-2</v>
      </c>
      <c r="AO63" s="86">
        <f t="shared" si="200"/>
        <v>4.449746466338067E-2</v>
      </c>
      <c r="AP63" s="86">
        <f t="shared" si="200"/>
        <v>0.24538232713338903</v>
      </c>
      <c r="AQ63" s="86">
        <f t="shared" si="200"/>
        <v>0.20694239546478271</v>
      </c>
      <c r="AR63" s="86">
        <f t="shared" si="200"/>
        <v>5.4851114087798886E-2</v>
      </c>
      <c r="AS63" s="86">
        <f t="shared" si="200"/>
        <v>8.527283907042596E-2</v>
      </c>
      <c r="AT63" s="86">
        <f t="shared" si="200"/>
        <v>0.91554565938506827</v>
      </c>
      <c r="AU63" s="86">
        <f t="shared" si="200"/>
        <v>2.0015718122657518</v>
      </c>
      <c r="AV63" s="86">
        <f t="shared" si="200"/>
        <v>0.63270881274799384</v>
      </c>
      <c r="AW63" s="86">
        <f t="shared" si="200"/>
        <v>0.58621053666238354</v>
      </c>
      <c r="AX63" s="86">
        <f t="shared" si="200"/>
        <v>0.16708725414793793</v>
      </c>
      <c r="AY63" s="86">
        <f t="shared" si="200"/>
        <v>0.14863721326499577</v>
      </c>
      <c r="AZ63" s="86">
        <f t="shared" si="200"/>
        <v>0.36729722788469982</v>
      </c>
      <c r="BA63" s="86">
        <f t="shared" si="200"/>
        <v>0.38543395879536396</v>
      </c>
      <c r="BB63" s="86">
        <f t="shared" si="200"/>
        <v>0.58410459444992124</v>
      </c>
      <c r="BC63" s="86">
        <f t="shared" si="200"/>
        <v>0.55894924296319093</v>
      </c>
      <c r="BD63" s="86">
        <f t="shared" si="200"/>
        <v>0.87007429793710478</v>
      </c>
      <c r="BE63" s="86">
        <f t="shared" si="200"/>
        <v>2.2810008028858348</v>
      </c>
      <c r="BF63" s="86">
        <f>IFERROR(BF16/BF12,0)</f>
        <v>0.43686717019863108</v>
      </c>
      <c r="BG63" s="86">
        <f>IFERROR(BG16/BG12,0)</f>
        <v>0.46794291505604763</v>
      </c>
      <c r="BH63" s="86">
        <f>IFERROR(BH16/BH12,0)</f>
        <v>0.23838093775068087</v>
      </c>
      <c r="BI63" s="86">
        <f>IFERROR(BI16/BI12,0)</f>
        <v>0.3779945542579885</v>
      </c>
      <c r="BJ63" s="86"/>
      <c r="BK63" s="86"/>
      <c r="BL63" s="86"/>
      <c r="BM63" s="86"/>
      <c r="BN63" s="86"/>
      <c r="BO63" s="86"/>
      <c r="BP63" s="86"/>
      <c r="BQ63" s="86"/>
      <c r="BR63" s="86"/>
      <c r="BS63" s="86"/>
      <c r="BT63" s="86"/>
      <c r="BU63" s="86"/>
      <c r="BV63" s="86">
        <f t="shared" si="200"/>
        <v>0.67271950948631465</v>
      </c>
      <c r="BW63" s="86">
        <f t="shared" si="200"/>
        <v>0.57573310704075553</v>
      </c>
    </row>
    <row r="64" spans="1:75" x14ac:dyDescent="0.2">
      <c r="A64" s="207" t="s">
        <v>107</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row>
    <row r="65" spans="1:75" x14ac:dyDescent="0.2">
      <c r="A65" s="96" t="s">
        <v>79</v>
      </c>
      <c r="B65" s="86">
        <f t="shared" ref="B65:AG65" si="201">IFERROR(B12/B16,0)</f>
        <v>1.1493271349020899</v>
      </c>
      <c r="C65" s="86">
        <f t="shared" si="201"/>
        <v>0.43840404980061226</v>
      </c>
      <c r="D65" s="86">
        <f t="shared" si="201"/>
        <v>4.2837178513558705</v>
      </c>
      <c r="E65" s="86">
        <f t="shared" si="201"/>
        <v>3.3468647778035092</v>
      </c>
      <c r="F65" s="86">
        <f t="shared" si="201"/>
        <v>0</v>
      </c>
      <c r="G65" s="86">
        <f t="shared" si="201"/>
        <v>2.2816313925321134</v>
      </c>
      <c r="H65" s="86">
        <f t="shared" si="201"/>
        <v>48.030331741183147</v>
      </c>
      <c r="I65" s="86">
        <f t="shared" si="201"/>
        <v>113.24957675303679</v>
      </c>
      <c r="J65" s="86">
        <f t="shared" si="201"/>
        <v>1.2499749481343059</v>
      </c>
      <c r="K65" s="86">
        <f t="shared" si="201"/>
        <v>1.3894672322506942</v>
      </c>
      <c r="L65" s="86">
        <f t="shared" si="201"/>
        <v>5.2955146007889882</v>
      </c>
      <c r="M65" s="86">
        <f t="shared" si="201"/>
        <v>8.8055509288019103</v>
      </c>
      <c r="N65" s="86">
        <f t="shared" si="201"/>
        <v>1.410724264477889</v>
      </c>
      <c r="O65" s="86">
        <f t="shared" si="201"/>
        <v>1.5595084522941427</v>
      </c>
      <c r="P65" s="86">
        <f t="shared" si="201"/>
        <v>1.4018824618048313</v>
      </c>
      <c r="Q65" s="86">
        <f t="shared" si="201"/>
        <v>1.3760993661568786</v>
      </c>
      <c r="R65" s="86">
        <f t="shared" si="201"/>
        <v>3.1160653111163912</v>
      </c>
      <c r="S65" s="86">
        <f t="shared" si="201"/>
        <v>3.048258551463066</v>
      </c>
      <c r="T65" s="86">
        <f t="shared" si="201"/>
        <v>9.0264554088376574</v>
      </c>
      <c r="U65" s="86">
        <f t="shared" si="201"/>
        <v>6.665340503695953</v>
      </c>
      <c r="V65" s="86">
        <f t="shared" si="201"/>
        <v>68.02698187708819</v>
      </c>
      <c r="W65" s="86">
        <f t="shared" si="201"/>
        <v>97.963056037505993</v>
      </c>
      <c r="X65" s="86">
        <f t="shared" si="201"/>
        <v>6.4218484854961888</v>
      </c>
      <c r="Y65" s="86">
        <f t="shared" si="201"/>
        <v>3.7693310323789158</v>
      </c>
      <c r="Z65" s="86">
        <f t="shared" si="201"/>
        <v>0</v>
      </c>
      <c r="AA65" s="86">
        <f t="shared" si="201"/>
        <v>0</v>
      </c>
      <c r="AB65" s="86">
        <f t="shared" si="201"/>
        <v>0</v>
      </c>
      <c r="AC65" s="86">
        <f t="shared" si="201"/>
        <v>1.0541091647879099</v>
      </c>
      <c r="AD65" s="86">
        <f t="shared" si="201"/>
        <v>1.3712878888095972</v>
      </c>
      <c r="AE65" s="86">
        <f t="shared" si="201"/>
        <v>1.6313403255424568</v>
      </c>
      <c r="AF65" s="86">
        <f t="shared" si="201"/>
        <v>1.8783469298014734</v>
      </c>
      <c r="AG65" s="86">
        <f t="shared" si="201"/>
        <v>2.6169747175901024</v>
      </c>
      <c r="AH65" s="86">
        <f t="shared" ref="AH65:BW65" si="202">IFERROR(AH12/AH16,0)</f>
        <v>64.429648121076625</v>
      </c>
      <c r="AI65" s="86">
        <f t="shared" si="202"/>
        <v>33.593381509357201</v>
      </c>
      <c r="AJ65" s="86">
        <f t="shared" si="202"/>
        <v>1.8320153284379002</v>
      </c>
      <c r="AK65" s="86">
        <f t="shared" si="202"/>
        <v>1.5768819795103013</v>
      </c>
      <c r="AL65" s="86">
        <f t="shared" si="202"/>
        <v>1.1862087279044706</v>
      </c>
      <c r="AM65" s="86">
        <f t="shared" si="202"/>
        <v>1.2186432198748525</v>
      </c>
      <c r="AN65" s="86">
        <f t="shared" si="202"/>
        <v>26.576413007216047</v>
      </c>
      <c r="AO65" s="86">
        <f t="shared" si="202"/>
        <v>22.473190496692574</v>
      </c>
      <c r="AP65" s="86">
        <f t="shared" si="202"/>
        <v>4.0752731122987651</v>
      </c>
      <c r="AQ65" s="86">
        <f t="shared" si="202"/>
        <v>4.832262609863232</v>
      </c>
      <c r="AR65" s="86">
        <f t="shared" si="202"/>
        <v>18.231170262090277</v>
      </c>
      <c r="AS65" s="86">
        <f t="shared" si="202"/>
        <v>11.727063516369032</v>
      </c>
      <c r="AT65" s="86">
        <f t="shared" si="202"/>
        <v>1.0922448157000231</v>
      </c>
      <c r="AU65" s="86">
        <f t="shared" si="202"/>
        <v>0.49960735551527063</v>
      </c>
      <c r="AV65" s="86">
        <f t="shared" si="202"/>
        <v>1.5805058817764519</v>
      </c>
      <c r="AW65" s="86">
        <f t="shared" si="202"/>
        <v>1.705871760158979</v>
      </c>
      <c r="AX65" s="86">
        <f t="shared" si="202"/>
        <v>5.9848969635625631</v>
      </c>
      <c r="AY65" s="86">
        <f t="shared" si="202"/>
        <v>6.7277902890789809</v>
      </c>
      <c r="AZ65" s="86">
        <f t="shared" si="202"/>
        <v>2.7225906543294554</v>
      </c>
      <c r="BA65" s="86">
        <f t="shared" si="202"/>
        <v>2.5944781905709657</v>
      </c>
      <c r="BB65" s="86">
        <f t="shared" si="202"/>
        <v>1.7120221438109846</v>
      </c>
      <c r="BC65" s="86">
        <f t="shared" si="202"/>
        <v>1.7890712127967836</v>
      </c>
      <c r="BD65" s="86">
        <f t="shared" si="202"/>
        <v>1.1493271349020899</v>
      </c>
      <c r="BE65" s="86">
        <f t="shared" si="202"/>
        <v>0.43840405436720509</v>
      </c>
      <c r="BF65" s="86">
        <f>IFERROR(BF12/BF16,0)</f>
        <v>2.2890252878130632</v>
      </c>
      <c r="BG65" s="86">
        <f>IFERROR(BG12/BG16,0)</f>
        <v>2.1370128018290981</v>
      </c>
      <c r="BH65" s="86">
        <f>IFERROR(BH12/BH16,0)</f>
        <v>4.1949662982108302</v>
      </c>
      <c r="BI65" s="86">
        <f>IFERROR(BI12/BI16,0)</f>
        <v>2.6455407590805682</v>
      </c>
      <c r="BJ65" s="86"/>
      <c r="BK65" s="86"/>
      <c r="BL65" s="86"/>
      <c r="BM65" s="86"/>
      <c r="BN65" s="86"/>
      <c r="BO65" s="86"/>
      <c r="BP65" s="86"/>
      <c r="BQ65" s="86"/>
      <c r="BR65" s="86"/>
      <c r="BS65" s="86"/>
      <c r="BT65" s="86"/>
      <c r="BU65" s="86"/>
      <c r="BV65" s="86">
        <f t="shared" si="202"/>
        <v>1.4865036406683005</v>
      </c>
      <c r="BW65" s="86">
        <f t="shared" si="202"/>
        <v>1.7369159212329455</v>
      </c>
    </row>
    <row r="66" spans="1:75" x14ac:dyDescent="0.2">
      <c r="A66" s="96" t="s">
        <v>80</v>
      </c>
      <c r="B66" s="86">
        <f t="shared" ref="B66:AG66" si="203">IFERROR(B12/B14,0)</f>
        <v>1.1493271349020899</v>
      </c>
      <c r="C66" s="86">
        <f t="shared" si="203"/>
        <v>0.96125611513569031</v>
      </c>
      <c r="D66" s="86">
        <f t="shared" si="203"/>
        <v>12.64845440000712</v>
      </c>
      <c r="E66" s="86">
        <f t="shared" si="203"/>
        <v>11.666791584380954</v>
      </c>
      <c r="F66" s="86">
        <f t="shared" si="203"/>
        <v>0</v>
      </c>
      <c r="G66" s="86">
        <f t="shared" si="203"/>
        <v>5.4202673269596717</v>
      </c>
      <c r="H66" s="86">
        <f t="shared" si="203"/>
        <v>48.030331741183147</v>
      </c>
      <c r="I66" s="86">
        <f t="shared" si="203"/>
        <v>113.24957675303679</v>
      </c>
      <c r="J66" s="86">
        <f t="shared" si="203"/>
        <v>3.1257522698802149</v>
      </c>
      <c r="K66" s="86">
        <f t="shared" si="203"/>
        <v>3.7979121064293722</v>
      </c>
      <c r="L66" s="86">
        <f t="shared" si="203"/>
        <v>5.2955146007889882</v>
      </c>
      <c r="M66" s="86">
        <f t="shared" si="203"/>
        <v>8.8055509288019103</v>
      </c>
      <c r="N66" s="86">
        <f t="shared" si="203"/>
        <v>2.0299909782678256</v>
      </c>
      <c r="O66" s="86">
        <f t="shared" si="203"/>
        <v>3.2425784031589995</v>
      </c>
      <c r="P66" s="86">
        <f t="shared" si="203"/>
        <v>5.8864874936243048</v>
      </c>
      <c r="Q66" s="86">
        <f t="shared" si="203"/>
        <v>7.4372905582930642</v>
      </c>
      <c r="R66" s="86">
        <f t="shared" si="203"/>
        <v>10.089820149563632</v>
      </c>
      <c r="S66" s="86">
        <f t="shared" si="203"/>
        <v>8.0085988630490448</v>
      </c>
      <c r="T66" s="86">
        <f t="shared" si="203"/>
        <v>9.7123669584734014</v>
      </c>
      <c r="U66" s="86">
        <f t="shared" si="203"/>
        <v>6.934435554574085</v>
      </c>
      <c r="V66" s="86">
        <f t="shared" si="203"/>
        <v>68.02698187708819</v>
      </c>
      <c r="W66" s="86">
        <f t="shared" si="203"/>
        <v>97.963056037505993</v>
      </c>
      <c r="X66" s="86">
        <f t="shared" si="203"/>
        <v>6.4218484854961888</v>
      </c>
      <c r="Y66" s="86">
        <f t="shared" si="203"/>
        <v>3.7693310323789158</v>
      </c>
      <c r="Z66" s="86">
        <f t="shared" si="203"/>
        <v>0</v>
      </c>
      <c r="AA66" s="86">
        <f t="shared" si="203"/>
        <v>0</v>
      </c>
      <c r="AB66" s="86">
        <f t="shared" si="203"/>
        <v>0</v>
      </c>
      <c r="AC66" s="86">
        <f t="shared" si="203"/>
        <v>93.941043293157691</v>
      </c>
      <c r="AD66" s="86">
        <f t="shared" si="203"/>
        <v>1.4241390700947456</v>
      </c>
      <c r="AE66" s="86">
        <f t="shared" si="203"/>
        <v>1.7975415008869631</v>
      </c>
      <c r="AF66" s="86">
        <f t="shared" si="203"/>
        <v>3.8166085019082643</v>
      </c>
      <c r="AG66" s="86">
        <f t="shared" si="203"/>
        <v>17.710283493428957</v>
      </c>
      <c r="AH66" s="86">
        <f t="shared" ref="AH66:BW66" si="204">IFERROR(AH12/AH14,0)</f>
        <v>64.429648121076625</v>
      </c>
      <c r="AI66" s="86">
        <f t="shared" si="204"/>
        <v>33.593381509357201</v>
      </c>
      <c r="AJ66" s="86">
        <f t="shared" si="204"/>
        <v>1.9098659518552725</v>
      </c>
      <c r="AK66" s="86">
        <f t="shared" si="204"/>
        <v>1.6932366116048754</v>
      </c>
      <c r="AL66" s="86">
        <f t="shared" si="204"/>
        <v>10.102674137272306</v>
      </c>
      <c r="AM66" s="86">
        <f t="shared" si="204"/>
        <v>28.47803293850837</v>
      </c>
      <c r="AN66" s="86">
        <f t="shared" si="204"/>
        <v>26.576413007216047</v>
      </c>
      <c r="AO66" s="86">
        <f t="shared" si="204"/>
        <v>22.473190496692574</v>
      </c>
      <c r="AP66" s="86">
        <f t="shared" si="204"/>
        <v>7.8579200098045376</v>
      </c>
      <c r="AQ66" s="86">
        <f t="shared" si="204"/>
        <v>8.4316237472387705</v>
      </c>
      <c r="AR66" s="86">
        <f t="shared" si="204"/>
        <v>18.231170262090277</v>
      </c>
      <c r="AS66" s="86">
        <f t="shared" si="204"/>
        <v>11.727063516369032</v>
      </c>
      <c r="AT66" s="86">
        <f t="shared" si="204"/>
        <v>1.0922448157000231</v>
      </c>
      <c r="AU66" s="86">
        <f t="shared" si="204"/>
        <v>0.49960735551527063</v>
      </c>
      <c r="AV66" s="86">
        <f t="shared" si="204"/>
        <v>1.8299672694669542</v>
      </c>
      <c r="AW66" s="86">
        <f t="shared" si="204"/>
        <v>2.2430732436495591</v>
      </c>
      <c r="AX66" s="86">
        <f t="shared" si="204"/>
        <v>5.9848969635625631</v>
      </c>
      <c r="AY66" s="86">
        <f t="shared" si="204"/>
        <v>6.7277902890789809</v>
      </c>
      <c r="AZ66" s="86">
        <f t="shared" si="204"/>
        <v>15.189424097663801</v>
      </c>
      <c r="BA66" s="86">
        <f t="shared" si="204"/>
        <v>32.900891571584722</v>
      </c>
      <c r="BB66" s="86">
        <f t="shared" si="204"/>
        <v>1.7120221438109846</v>
      </c>
      <c r="BC66" s="86">
        <f t="shared" si="204"/>
        <v>1.7934556617367019</v>
      </c>
      <c r="BD66" s="86">
        <f t="shared" si="204"/>
        <v>1.1493271349020899</v>
      </c>
      <c r="BE66" s="86">
        <f t="shared" si="204"/>
        <v>0.96125612514852032</v>
      </c>
      <c r="BF66" s="86">
        <f>IFERROR(BF12/BF14,0)</f>
        <v>2.2890252878130632</v>
      </c>
      <c r="BG66" s="86">
        <f>IFERROR(BG12/BG14,0)</f>
        <v>2.2650744958531637</v>
      </c>
      <c r="BH66" s="86">
        <f>IFERROR(BH12/BH14,0)</f>
        <v>4.4388433687320088</v>
      </c>
      <c r="BI66" s="86">
        <f>IFERROR(BI12/BI14,0)</f>
        <v>3.6179670164685067</v>
      </c>
      <c r="BJ66" s="86"/>
      <c r="BK66" s="86"/>
      <c r="BL66" s="86"/>
      <c r="BM66" s="86"/>
      <c r="BN66" s="86"/>
      <c r="BO66" s="86"/>
      <c r="BP66" s="86"/>
      <c r="BQ66" s="86"/>
      <c r="BR66" s="86"/>
      <c r="BS66" s="86"/>
      <c r="BT66" s="86"/>
      <c r="BU66" s="86"/>
      <c r="BV66" s="86">
        <f t="shared" si="204"/>
        <v>1.6344565147042647</v>
      </c>
      <c r="BW66" s="86">
        <f t="shared" si="204"/>
        <v>2.1232360537900337</v>
      </c>
    </row>
    <row r="67" spans="1:75" x14ac:dyDescent="0.2">
      <c r="A67" s="207" t="s">
        <v>108</v>
      </c>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row>
    <row r="68" spans="1:75" x14ac:dyDescent="0.2">
      <c r="A68" s="96" t="s">
        <v>82</v>
      </c>
      <c r="B68" s="86">
        <f t="shared" ref="B68:AG68" si="205">IFERROR(B11/B15,0)</f>
        <v>0</v>
      </c>
      <c r="C68" s="86">
        <f t="shared" si="205"/>
        <v>0.5889991267803607</v>
      </c>
      <c r="D68" s="86">
        <f t="shared" si="205"/>
        <v>5.4150740429474098</v>
      </c>
      <c r="E68" s="86">
        <f t="shared" si="205"/>
        <v>3.9935190199968287</v>
      </c>
      <c r="F68" s="86">
        <f t="shared" si="205"/>
        <v>0</v>
      </c>
      <c r="G68" s="86">
        <f t="shared" si="205"/>
        <v>1.6171266666666666</v>
      </c>
      <c r="H68" s="86">
        <f t="shared" si="205"/>
        <v>0</v>
      </c>
      <c r="I68" s="86">
        <f t="shared" si="205"/>
        <v>0</v>
      </c>
      <c r="J68" s="86">
        <f t="shared" si="205"/>
        <v>0.26094338537398609</v>
      </c>
      <c r="K68" s="86">
        <f t="shared" si="205"/>
        <v>0.20750909101051393</v>
      </c>
      <c r="L68" s="86">
        <f t="shared" si="205"/>
        <v>0</v>
      </c>
      <c r="M68" s="86">
        <f t="shared" si="205"/>
        <v>0</v>
      </c>
      <c r="N68" s="86">
        <f t="shared" si="205"/>
        <v>1.2247624868712139</v>
      </c>
      <c r="O68" s="86">
        <f t="shared" si="205"/>
        <v>0.80552091872272102</v>
      </c>
      <c r="P68" s="86">
        <f t="shared" si="205"/>
        <v>0.48482610207520427</v>
      </c>
      <c r="Q68" s="86">
        <f t="shared" si="205"/>
        <v>0.46571282325186031</v>
      </c>
      <c r="R68" s="86">
        <f t="shared" si="205"/>
        <v>2.2942644190754122</v>
      </c>
      <c r="S68" s="86">
        <f t="shared" si="205"/>
        <v>2.0844347028776324</v>
      </c>
      <c r="T68" s="86">
        <f t="shared" si="205"/>
        <v>26.333602962843127</v>
      </c>
      <c r="U68" s="86">
        <f t="shared" si="205"/>
        <v>26.382021478652348</v>
      </c>
      <c r="V68" s="86">
        <f t="shared" si="205"/>
        <v>0</v>
      </c>
      <c r="W68" s="86">
        <f t="shared" si="205"/>
        <v>0</v>
      </c>
      <c r="X68" s="86">
        <f t="shared" si="205"/>
        <v>0</v>
      </c>
      <c r="Y68" s="86">
        <f t="shared" si="205"/>
        <v>0</v>
      </c>
      <c r="Z68" s="86">
        <f t="shared" si="205"/>
        <v>0</v>
      </c>
      <c r="AA68" s="86">
        <f t="shared" si="205"/>
        <v>0</v>
      </c>
      <c r="AB68" s="86">
        <f t="shared" si="205"/>
        <v>0</v>
      </c>
      <c r="AC68" s="86">
        <f t="shared" si="205"/>
        <v>0.11410584544001552</v>
      </c>
      <c r="AD68" s="86">
        <f t="shared" si="205"/>
        <v>0.96574491053631317</v>
      </c>
      <c r="AE68" s="86">
        <f t="shared" si="205"/>
        <v>0.70401668616696678</v>
      </c>
      <c r="AF68" s="86">
        <f t="shared" si="205"/>
        <v>1.5317658822786784</v>
      </c>
      <c r="AG68" s="86">
        <f t="shared" si="205"/>
        <v>1.5050932199977913</v>
      </c>
      <c r="AH68" s="86">
        <f t="shared" ref="AH68:BE68" si="206">IFERROR(AH11/AH15,0)</f>
        <v>0</v>
      </c>
      <c r="AI68" s="86">
        <f t="shared" si="206"/>
        <v>0</v>
      </c>
      <c r="AJ68" s="86">
        <f t="shared" si="206"/>
        <v>12.966750014448342</v>
      </c>
      <c r="AK68" s="86">
        <f t="shared" si="206"/>
        <v>7.3551129694936384</v>
      </c>
      <c r="AL68" s="86">
        <f t="shared" si="206"/>
        <v>1.2125414009356026</v>
      </c>
      <c r="AM68" s="86">
        <f t="shared" si="206"/>
        <v>1.0805079235141972</v>
      </c>
      <c r="AN68" s="86">
        <f t="shared" si="206"/>
        <v>0</v>
      </c>
      <c r="AO68" s="86">
        <f t="shared" si="206"/>
        <v>0</v>
      </c>
      <c r="AP68" s="86">
        <f t="shared" si="206"/>
        <v>5.2228923638246059</v>
      </c>
      <c r="AQ68" s="86">
        <f t="shared" si="206"/>
        <v>8.4460815379058616</v>
      </c>
      <c r="AR68" s="86">
        <f t="shared" si="206"/>
        <v>0</v>
      </c>
      <c r="AS68" s="86">
        <f t="shared" si="206"/>
        <v>0</v>
      </c>
      <c r="AT68" s="86">
        <f t="shared" si="206"/>
        <v>0</v>
      </c>
      <c r="AU68" s="86">
        <f t="shared" si="206"/>
        <v>0</v>
      </c>
      <c r="AV68" s="86">
        <f t="shared" si="206"/>
        <v>3.8254195770907833</v>
      </c>
      <c r="AW68" s="86">
        <f t="shared" si="206"/>
        <v>2.4288398716541062</v>
      </c>
      <c r="AX68" s="86">
        <f t="shared" si="206"/>
        <v>0</v>
      </c>
      <c r="AY68" s="86">
        <f t="shared" si="206"/>
        <v>0</v>
      </c>
      <c r="AZ68" s="86">
        <f t="shared" si="206"/>
        <v>2.5094304408269101</v>
      </c>
      <c r="BA68" s="86">
        <f t="shared" si="206"/>
        <v>2.5389268614631462</v>
      </c>
      <c r="BB68" s="86">
        <f t="shared" si="206"/>
        <v>0</v>
      </c>
      <c r="BC68" s="86">
        <f t="shared" si="206"/>
        <v>64.906354515050168</v>
      </c>
      <c r="BD68" s="86">
        <f t="shared" si="206"/>
        <v>0</v>
      </c>
      <c r="BE68" s="86">
        <f t="shared" si="206"/>
        <v>0.58899913517597691</v>
      </c>
      <c r="BF68" s="86">
        <f t="shared" ref="BF68:BI69" si="207">IFERROR(BF11/BF15,0)</f>
        <v>0</v>
      </c>
      <c r="BG68" s="86">
        <f t="shared" si="207"/>
        <v>7.1421927069711293</v>
      </c>
      <c r="BH68" s="86">
        <f t="shared" si="207"/>
        <v>24.05031786669327</v>
      </c>
      <c r="BI68" s="86">
        <f t="shared" si="207"/>
        <v>3.4269597389669455</v>
      </c>
      <c r="BJ68" s="86"/>
      <c r="BK68" s="86"/>
      <c r="BL68" s="86"/>
      <c r="BM68" s="86"/>
      <c r="BN68" s="86"/>
      <c r="BO68" s="86"/>
      <c r="BP68" s="86"/>
      <c r="BQ68" s="86"/>
      <c r="BR68" s="86"/>
      <c r="BS68" s="86"/>
      <c r="BT68" s="86"/>
      <c r="BU68" s="86"/>
      <c r="BV68" s="86">
        <f>IFERROR(BV11/BV18,0)</f>
        <v>1.3293309307395968</v>
      </c>
      <c r="BW68" s="86">
        <f>IFERROR(BW11/BW18,0)</f>
        <v>1.3784539983757889</v>
      </c>
    </row>
    <row r="69" spans="1:75" x14ac:dyDescent="0.2">
      <c r="A69" s="96" t="s">
        <v>83</v>
      </c>
      <c r="B69" s="86">
        <f t="shared" ref="B69:AG69" si="208">IFERROR(B12/B16,0)</f>
        <v>1.1493271349020899</v>
      </c>
      <c r="C69" s="86">
        <f t="shared" si="208"/>
        <v>0.43840404980061226</v>
      </c>
      <c r="D69" s="86">
        <f t="shared" si="208"/>
        <v>4.2837178513558705</v>
      </c>
      <c r="E69" s="86">
        <f t="shared" si="208"/>
        <v>3.3468647778035092</v>
      </c>
      <c r="F69" s="86">
        <f t="shared" si="208"/>
        <v>0</v>
      </c>
      <c r="G69" s="86">
        <f t="shared" si="208"/>
        <v>2.2816313925321134</v>
      </c>
      <c r="H69" s="86">
        <f t="shared" si="208"/>
        <v>48.030331741183147</v>
      </c>
      <c r="I69" s="86">
        <f t="shared" si="208"/>
        <v>113.24957675303679</v>
      </c>
      <c r="J69" s="86">
        <f t="shared" si="208"/>
        <v>1.2499749481343059</v>
      </c>
      <c r="K69" s="86">
        <f t="shared" si="208"/>
        <v>1.3894672322506942</v>
      </c>
      <c r="L69" s="86">
        <f t="shared" si="208"/>
        <v>5.2955146007889882</v>
      </c>
      <c r="M69" s="86">
        <f t="shared" si="208"/>
        <v>8.8055509288019103</v>
      </c>
      <c r="N69" s="86">
        <f t="shared" si="208"/>
        <v>1.410724264477889</v>
      </c>
      <c r="O69" s="86">
        <f t="shared" si="208"/>
        <v>1.5595084522941427</v>
      </c>
      <c r="P69" s="86">
        <f t="shared" si="208"/>
        <v>1.4018824618048313</v>
      </c>
      <c r="Q69" s="86">
        <f t="shared" si="208"/>
        <v>1.3760993661568786</v>
      </c>
      <c r="R69" s="86">
        <f t="shared" si="208"/>
        <v>3.1160653111163912</v>
      </c>
      <c r="S69" s="86">
        <f t="shared" si="208"/>
        <v>3.048258551463066</v>
      </c>
      <c r="T69" s="86">
        <f t="shared" si="208"/>
        <v>9.0264554088376574</v>
      </c>
      <c r="U69" s="86">
        <f t="shared" si="208"/>
        <v>6.665340503695953</v>
      </c>
      <c r="V69" s="86">
        <f t="shared" si="208"/>
        <v>68.02698187708819</v>
      </c>
      <c r="W69" s="86">
        <f t="shared" si="208"/>
        <v>97.963056037505993</v>
      </c>
      <c r="X69" s="86">
        <f t="shared" si="208"/>
        <v>6.4218484854961888</v>
      </c>
      <c r="Y69" s="86">
        <f t="shared" si="208"/>
        <v>3.7693310323789158</v>
      </c>
      <c r="Z69" s="86">
        <f t="shared" si="208"/>
        <v>0</v>
      </c>
      <c r="AA69" s="86">
        <f t="shared" si="208"/>
        <v>0</v>
      </c>
      <c r="AB69" s="86">
        <f t="shared" si="208"/>
        <v>0</v>
      </c>
      <c r="AC69" s="86">
        <f t="shared" si="208"/>
        <v>1.0541091647879099</v>
      </c>
      <c r="AD69" s="86">
        <f t="shared" si="208"/>
        <v>1.3712878888095972</v>
      </c>
      <c r="AE69" s="86">
        <f t="shared" si="208"/>
        <v>1.6313403255424568</v>
      </c>
      <c r="AF69" s="86">
        <f t="shared" si="208"/>
        <v>1.8783469298014734</v>
      </c>
      <c r="AG69" s="86">
        <f t="shared" si="208"/>
        <v>2.6169747175901024</v>
      </c>
      <c r="AH69" s="86">
        <f t="shared" ref="AH69:BE69" si="209">IFERROR(AH12/AH16,0)</f>
        <v>64.429648121076625</v>
      </c>
      <c r="AI69" s="86">
        <f t="shared" si="209"/>
        <v>33.593381509357201</v>
      </c>
      <c r="AJ69" s="86">
        <f t="shared" si="209"/>
        <v>1.8320153284379002</v>
      </c>
      <c r="AK69" s="86">
        <f t="shared" si="209"/>
        <v>1.5768819795103013</v>
      </c>
      <c r="AL69" s="86">
        <f t="shared" si="209"/>
        <v>1.1862087279044706</v>
      </c>
      <c r="AM69" s="86">
        <f t="shared" si="209"/>
        <v>1.2186432198748525</v>
      </c>
      <c r="AN69" s="86">
        <f t="shared" si="209"/>
        <v>26.576413007216047</v>
      </c>
      <c r="AO69" s="86">
        <f t="shared" si="209"/>
        <v>22.473190496692574</v>
      </c>
      <c r="AP69" s="86">
        <f t="shared" si="209"/>
        <v>4.0752731122987651</v>
      </c>
      <c r="AQ69" s="86">
        <f t="shared" si="209"/>
        <v>4.832262609863232</v>
      </c>
      <c r="AR69" s="86">
        <f t="shared" si="209"/>
        <v>18.231170262090277</v>
      </c>
      <c r="AS69" s="86">
        <f t="shared" si="209"/>
        <v>11.727063516369032</v>
      </c>
      <c r="AT69" s="86">
        <f t="shared" si="209"/>
        <v>1.0922448157000231</v>
      </c>
      <c r="AU69" s="86">
        <f t="shared" si="209"/>
        <v>0.49960735551527063</v>
      </c>
      <c r="AV69" s="86">
        <f t="shared" si="209"/>
        <v>1.5805058817764519</v>
      </c>
      <c r="AW69" s="86">
        <f t="shared" si="209"/>
        <v>1.705871760158979</v>
      </c>
      <c r="AX69" s="86">
        <f t="shared" si="209"/>
        <v>5.9848969635625631</v>
      </c>
      <c r="AY69" s="86">
        <f t="shared" si="209"/>
        <v>6.7277902890789809</v>
      </c>
      <c r="AZ69" s="86">
        <f t="shared" si="209"/>
        <v>2.7225906543294554</v>
      </c>
      <c r="BA69" s="86">
        <f t="shared" si="209"/>
        <v>2.5944781905709657</v>
      </c>
      <c r="BB69" s="86">
        <f t="shared" si="209"/>
        <v>1.7120221438109846</v>
      </c>
      <c r="BC69" s="86">
        <f t="shared" si="209"/>
        <v>1.7890712127967836</v>
      </c>
      <c r="BD69" s="86">
        <f t="shared" si="209"/>
        <v>1.1493271349020899</v>
      </c>
      <c r="BE69" s="86">
        <f t="shared" si="209"/>
        <v>0.43840405436720509</v>
      </c>
      <c r="BF69" s="86">
        <f t="shared" si="207"/>
        <v>2.2890252878130632</v>
      </c>
      <c r="BG69" s="86">
        <f t="shared" si="207"/>
        <v>2.1370128018290981</v>
      </c>
      <c r="BH69" s="86">
        <f t="shared" si="207"/>
        <v>4.1949662982108302</v>
      </c>
      <c r="BI69" s="86">
        <f t="shared" si="207"/>
        <v>2.6455407590805682</v>
      </c>
      <c r="BJ69" s="86"/>
      <c r="BK69" s="86"/>
      <c r="BL69" s="86"/>
      <c r="BM69" s="86"/>
      <c r="BN69" s="86"/>
      <c r="BO69" s="86"/>
      <c r="BP69" s="86"/>
      <c r="BQ69" s="86"/>
      <c r="BR69" s="86"/>
      <c r="BS69" s="86"/>
      <c r="BT69" s="86"/>
      <c r="BU69" s="86"/>
      <c r="BV69" s="86">
        <f>IFERROR(BV12/BV16,0)</f>
        <v>1.4865036406683005</v>
      </c>
      <c r="BW69" s="86">
        <f>IFERROR(BW12/BW16,0)</f>
        <v>1.7369159212329455</v>
      </c>
    </row>
    <row r="70" spans="1:75" x14ac:dyDescent="0.2">
      <c r="A70" s="207" t="s">
        <v>109</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08"/>
      <c r="BS70" s="208"/>
      <c r="BT70" s="208"/>
      <c r="BU70" s="208"/>
      <c r="BV70" s="208"/>
      <c r="BW70" s="208"/>
    </row>
    <row r="71" spans="1:75" x14ac:dyDescent="0.2">
      <c r="A71" s="96" t="s">
        <v>85</v>
      </c>
      <c r="B71" s="86">
        <f t="shared" ref="B71:AG71" si="210">IFERROR(B32/B12,0)</f>
        <v>0.12992570206289519</v>
      </c>
      <c r="C71" s="86">
        <f t="shared" si="210"/>
        <v>-1.2810008266456561</v>
      </c>
      <c r="D71" s="86">
        <f t="shared" si="210"/>
        <v>0.76655792124976607</v>
      </c>
      <c r="E71" s="86">
        <f t="shared" si="210"/>
        <v>0.70121290629008226</v>
      </c>
      <c r="F71" s="86">
        <f t="shared" si="210"/>
        <v>0</v>
      </c>
      <c r="G71" s="86">
        <f t="shared" si="210"/>
        <v>0.56171711027773952</v>
      </c>
      <c r="H71" s="86">
        <f t="shared" si="210"/>
        <v>0.97917982317114505</v>
      </c>
      <c r="I71" s="86">
        <f t="shared" si="210"/>
        <v>0.99116994492455635</v>
      </c>
      <c r="J71" s="86">
        <f t="shared" si="210"/>
        <v>0.19998396648462022</v>
      </c>
      <c r="K71" s="86">
        <f t="shared" si="210"/>
        <v>0.28029968840634356</v>
      </c>
      <c r="L71" s="86">
        <f t="shared" si="210"/>
        <v>0.81116093989222349</v>
      </c>
      <c r="M71" s="86">
        <f t="shared" si="210"/>
        <v>0.88643527155931623</v>
      </c>
      <c r="N71" s="86">
        <f t="shared" si="210"/>
        <v>0.29114425463568433</v>
      </c>
      <c r="O71" s="86">
        <f t="shared" si="210"/>
        <v>0.35877231153897748</v>
      </c>
      <c r="P71" s="86">
        <f t="shared" si="210"/>
        <v>0.28667343572258841</v>
      </c>
      <c r="Q71" s="86">
        <f t="shared" si="210"/>
        <v>0.27330829110635774</v>
      </c>
      <c r="R71" s="86">
        <f t="shared" si="210"/>
        <v>0.6790824645322564</v>
      </c>
      <c r="S71" s="86">
        <f t="shared" si="210"/>
        <v>0.67194383838600824</v>
      </c>
      <c r="T71" s="86">
        <f t="shared" si="210"/>
        <v>0.88921454162162972</v>
      </c>
      <c r="U71" s="86">
        <f t="shared" si="210"/>
        <v>0.84997015539633769</v>
      </c>
      <c r="V71" s="86">
        <f t="shared" si="210"/>
        <v>0.98529995051365338</v>
      </c>
      <c r="W71" s="86">
        <f t="shared" si="210"/>
        <v>0.98979207019004045</v>
      </c>
      <c r="X71" s="86">
        <f t="shared" si="210"/>
        <v>0.84428159551591564</v>
      </c>
      <c r="Y71" s="86">
        <f t="shared" si="210"/>
        <v>0.73470093461945796</v>
      </c>
      <c r="Z71" s="86">
        <f t="shared" si="210"/>
        <v>0</v>
      </c>
      <c r="AA71" s="86">
        <f t="shared" si="210"/>
        <v>1</v>
      </c>
      <c r="AB71" s="86">
        <f t="shared" si="210"/>
        <v>0</v>
      </c>
      <c r="AC71" s="86">
        <f t="shared" si="210"/>
        <v>5.1331651972494528E-2</v>
      </c>
      <c r="AD71" s="86">
        <f t="shared" si="210"/>
        <v>0.2707585269581203</v>
      </c>
      <c r="AE71" s="86">
        <f t="shared" si="210"/>
        <v>0.38700712270600074</v>
      </c>
      <c r="AF71" s="86">
        <f t="shared" si="210"/>
        <v>0.46761698590702189</v>
      </c>
      <c r="AG71" s="86">
        <f t="shared" si="210"/>
        <v>0.61787938061515868</v>
      </c>
      <c r="AH71" s="86">
        <f t="shared" ref="AH71:BW71" si="211">IFERROR(AH32/AH12,0)</f>
        <v>0.98447919507303849</v>
      </c>
      <c r="AI71" s="86">
        <f t="shared" si="211"/>
        <v>0.97023223161617544</v>
      </c>
      <c r="AJ71" s="86">
        <f t="shared" si="211"/>
        <v>0.454153038745223</v>
      </c>
      <c r="AK71" s="86">
        <f t="shared" si="211"/>
        <v>0.36583713112724592</v>
      </c>
      <c r="AL71" s="86">
        <f t="shared" si="211"/>
        <v>0.15697804570484206</v>
      </c>
      <c r="AM71" s="86">
        <f t="shared" si="211"/>
        <v>0.17941528439907614</v>
      </c>
      <c r="AN71" s="86">
        <f t="shared" si="211"/>
        <v>0.96237264977299686</v>
      </c>
      <c r="AO71" s="86">
        <f t="shared" si="211"/>
        <v>0.95550253533661933</v>
      </c>
      <c r="AP71" s="86">
        <f t="shared" si="211"/>
        <v>0.75461767286661097</v>
      </c>
      <c r="AQ71" s="86">
        <f t="shared" si="211"/>
        <v>0.79305760453521734</v>
      </c>
      <c r="AR71" s="86">
        <f t="shared" si="211"/>
        <v>0.94514888591220114</v>
      </c>
      <c r="AS71" s="86">
        <f t="shared" si="211"/>
        <v>0.91472716092957407</v>
      </c>
      <c r="AT71" s="86">
        <f t="shared" si="211"/>
        <v>8.4454340614931692E-2</v>
      </c>
      <c r="AU71" s="86">
        <f t="shared" si="211"/>
        <v>-1.0015718122657518</v>
      </c>
      <c r="AV71" s="86">
        <f t="shared" si="211"/>
        <v>0.36729118725200616</v>
      </c>
      <c r="AW71" s="86">
        <f t="shared" si="211"/>
        <v>0.4137894633376164</v>
      </c>
      <c r="AX71" s="86">
        <f t="shared" si="211"/>
        <v>0.8329127458520621</v>
      </c>
      <c r="AY71" s="86">
        <f t="shared" si="211"/>
        <v>0.85136278673500421</v>
      </c>
      <c r="AZ71" s="86">
        <f t="shared" si="211"/>
        <v>0.63270277211530013</v>
      </c>
      <c r="BA71" s="86">
        <f t="shared" si="211"/>
        <v>0.61456604120463609</v>
      </c>
      <c r="BB71" s="86">
        <f t="shared" si="211"/>
        <v>0.4158954055500787</v>
      </c>
      <c r="BC71" s="86">
        <f t="shared" si="211"/>
        <v>0.44105075703680907</v>
      </c>
      <c r="BD71" s="86">
        <f t="shared" si="211"/>
        <v>0.12992570206289519</v>
      </c>
      <c r="BE71" s="86">
        <f t="shared" si="211"/>
        <v>-1.2810008028858348</v>
      </c>
      <c r="BF71" s="86">
        <f>IFERROR(BF32/BF12,0)</f>
        <v>0.56313282980136892</v>
      </c>
      <c r="BG71" s="86">
        <f>IFERROR(BG32/BG12,0)</f>
        <v>0.53205708494395232</v>
      </c>
      <c r="BH71" s="86">
        <f>IFERROR(BH32/BH12,0)</f>
        <v>0.76161906224931919</v>
      </c>
      <c r="BI71" s="86">
        <f>IFERROR(BI32/BI12,0)</f>
        <v>0.62200544574201144</v>
      </c>
      <c r="BJ71" s="86"/>
      <c r="BK71" s="86"/>
      <c r="BL71" s="86"/>
      <c r="BM71" s="86"/>
      <c r="BN71" s="86"/>
      <c r="BO71" s="86"/>
      <c r="BP71" s="86"/>
      <c r="BQ71" s="86"/>
      <c r="BR71" s="86"/>
      <c r="BS71" s="86"/>
      <c r="BT71" s="86"/>
      <c r="BU71" s="86"/>
      <c r="BV71" s="86">
        <f t="shared" si="211"/>
        <v>0.32728049051368535</v>
      </c>
      <c r="BW71" s="86">
        <f t="shared" si="211"/>
        <v>0.42426689295924441</v>
      </c>
    </row>
    <row r="72" spans="1:75" x14ac:dyDescent="0.2">
      <c r="A72" s="207" t="s">
        <v>110</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row>
    <row r="73" spans="1:75" x14ac:dyDescent="0.2">
      <c r="A73" s="96" t="s">
        <v>284</v>
      </c>
      <c r="B73" s="86">
        <f t="shared" ref="B73:AG73" si="212">IFERROR(B40/B37,0)</f>
        <v>-0.47345953791970363</v>
      </c>
      <c r="C73" s="86">
        <f t="shared" si="212"/>
        <v>-1.0644392404145828</v>
      </c>
      <c r="D73" s="86">
        <f t="shared" si="212"/>
        <v>3.1088452666885053E-2</v>
      </c>
      <c r="E73" s="86">
        <f t="shared" si="212"/>
        <v>0.16754958384357282</v>
      </c>
      <c r="F73" s="86">
        <f t="shared" si="212"/>
        <v>0</v>
      </c>
      <c r="G73" s="86">
        <f t="shared" si="212"/>
        <v>0.10835964766494931</v>
      </c>
      <c r="H73" s="86">
        <f t="shared" si="212"/>
        <v>4.9573382790719656E-2</v>
      </c>
      <c r="I73" s="86">
        <f t="shared" si="212"/>
        <v>9.5753187056443617E-2</v>
      </c>
      <c r="J73" s="86">
        <f t="shared" si="212"/>
        <v>0.12405862581869803</v>
      </c>
      <c r="K73" s="86">
        <f t="shared" si="212"/>
        <v>0.17741723144175062</v>
      </c>
      <c r="L73" s="86">
        <f t="shared" si="212"/>
        <v>0.37026191608391607</v>
      </c>
      <c r="M73" s="86">
        <f t="shared" si="212"/>
        <v>0.36712534615384618</v>
      </c>
      <c r="N73" s="86">
        <f t="shared" si="212"/>
        <v>0.20819064197212883</v>
      </c>
      <c r="O73" s="86">
        <f t="shared" si="212"/>
        <v>0.12402787969055841</v>
      </c>
      <c r="P73" s="86">
        <f t="shared" si="212"/>
        <v>0.59747812534231992</v>
      </c>
      <c r="Q73" s="86">
        <f t="shared" si="212"/>
        <v>0.18301113376270542</v>
      </c>
      <c r="R73" s="86">
        <f t="shared" si="212"/>
        <v>0.21512551301900265</v>
      </c>
      <c r="S73" s="86">
        <f t="shared" si="212"/>
        <v>0.18116313691857899</v>
      </c>
      <c r="T73" s="86">
        <f t="shared" si="212"/>
        <v>0.13315871116714489</v>
      </c>
      <c r="U73" s="86">
        <f t="shared" si="212"/>
        <v>6.0906241471130725E-2</v>
      </c>
      <c r="V73" s="86">
        <f t="shared" si="212"/>
        <v>9.4567876411648405E-2</v>
      </c>
      <c r="W73" s="86">
        <f t="shared" si="212"/>
        <v>6.4832431631113893E-2</v>
      </c>
      <c r="X73" s="86">
        <f t="shared" si="212"/>
        <v>2.0541276049165801E-2</v>
      </c>
      <c r="Y73" s="86">
        <f t="shared" si="212"/>
        <v>2.5368054162484818E-2</v>
      </c>
      <c r="Z73" s="86">
        <f t="shared" si="212"/>
        <v>0</v>
      </c>
      <c r="AA73" s="86">
        <f t="shared" si="212"/>
        <v>0</v>
      </c>
      <c r="AB73" s="86">
        <f t="shared" si="212"/>
        <v>0</v>
      </c>
      <c r="AC73" s="86">
        <f t="shared" si="212"/>
        <v>-2.3430071200000002</v>
      </c>
      <c r="AD73" s="86">
        <f t="shared" si="212"/>
        <v>-0.10641614117135251</v>
      </c>
      <c r="AE73" s="86">
        <f t="shared" si="212"/>
        <v>1.2484144820897004E-2</v>
      </c>
      <c r="AF73" s="86">
        <f t="shared" si="212"/>
        <v>0.2751707630438921</v>
      </c>
      <c r="AG73" s="86">
        <f t="shared" si="212"/>
        <v>-2.0913242731298229E-2</v>
      </c>
      <c r="AH73" s="86">
        <f t="shared" ref="AH73:BW73" si="213">IFERROR(AH40/AH37,0)</f>
        <v>0.68020623339277364</v>
      </c>
      <c r="AI73" s="86">
        <f t="shared" si="213"/>
        <v>0.58962556096252472</v>
      </c>
      <c r="AJ73" s="86">
        <f t="shared" si="213"/>
        <v>0.13934119311388274</v>
      </c>
      <c r="AK73" s="86">
        <f t="shared" si="213"/>
        <v>8.9215059635160562E-2</v>
      </c>
      <c r="AL73" s="86">
        <f t="shared" si="213"/>
        <v>0.18494341973474068</v>
      </c>
      <c r="AM73" s="86">
        <f t="shared" si="213"/>
        <v>7.2863409320471528E-2</v>
      </c>
      <c r="AN73" s="86">
        <f t="shared" si="213"/>
        <v>9.5735137614678903E-2</v>
      </c>
      <c r="AO73" s="86">
        <f t="shared" si="213"/>
        <v>0.13511470133767373</v>
      </c>
      <c r="AP73" s="86">
        <f t="shared" si="213"/>
        <v>0.31181636522521838</v>
      </c>
      <c r="AQ73" s="86">
        <f t="shared" si="213"/>
        <v>-3.1548739285370608E-2</v>
      </c>
      <c r="AR73" s="86">
        <f t="shared" si="213"/>
        <v>0.10293440364438802</v>
      </c>
      <c r="AS73" s="86">
        <f t="shared" si="213"/>
        <v>0.11191556730127744</v>
      </c>
      <c r="AT73" s="86">
        <f t="shared" si="213"/>
        <v>0</v>
      </c>
      <c r="AU73" s="86">
        <f t="shared" si="213"/>
        <v>-1.3969137946750099</v>
      </c>
      <c r="AV73" s="86">
        <f t="shared" si="213"/>
        <v>0.24303564215582774</v>
      </c>
      <c r="AW73" s="86">
        <f t="shared" si="213"/>
        <v>8.7877933547552967E-2</v>
      </c>
      <c r="AX73" s="86">
        <f t="shared" si="213"/>
        <v>0.23667296717080349</v>
      </c>
      <c r="AY73" s="86">
        <f t="shared" si="213"/>
        <v>-0.17041621176758032</v>
      </c>
      <c r="AZ73" s="86">
        <f t="shared" si="213"/>
        <v>0.13046199443691495</v>
      </c>
      <c r="BA73" s="86">
        <f t="shared" si="213"/>
        <v>8.3814759312507592E-2</v>
      </c>
      <c r="BB73" s="86">
        <f t="shared" si="213"/>
        <v>0.26179102073523874</v>
      </c>
      <c r="BC73" s="86">
        <f t="shared" si="213"/>
        <v>4.4729683739797306E-2</v>
      </c>
      <c r="BD73" s="86">
        <f t="shared" si="213"/>
        <v>-0.47345953791970363</v>
      </c>
      <c r="BE73" s="86">
        <f t="shared" si="213"/>
        <v>-1.0644392404145828</v>
      </c>
      <c r="BF73" s="86">
        <f>IFERROR(BF40/BF37,0)</f>
        <v>0.10294333674071919</v>
      </c>
      <c r="BG73" s="86">
        <f>IFERROR(BG40/BG37,0)</f>
        <v>4.329024029328396E-2</v>
      </c>
      <c r="BH73" s="86">
        <f>IFERROR(BH40/BH37,0)</f>
        <v>0.10890186318727597</v>
      </c>
      <c r="BI73" s="86">
        <f>IFERROR(BI40/BI37,0)</f>
        <v>0.10564011005353198</v>
      </c>
      <c r="BJ73" s="86"/>
      <c r="BK73" s="86"/>
      <c r="BL73" s="86"/>
      <c r="BM73" s="86"/>
      <c r="BN73" s="86"/>
      <c r="BO73" s="86"/>
      <c r="BP73" s="86"/>
      <c r="BQ73" s="86"/>
      <c r="BR73" s="86"/>
      <c r="BS73" s="86"/>
      <c r="BT73" s="86"/>
      <c r="BU73" s="86"/>
      <c r="BV73" s="86">
        <f t="shared" si="213"/>
        <v>4.6435611663080335E-2</v>
      </c>
      <c r="BW73" s="86">
        <f t="shared" si="213"/>
        <v>4.5407308698262344E-2</v>
      </c>
    </row>
    <row r="74" spans="1:75" x14ac:dyDescent="0.2">
      <c r="A74" s="96" t="s">
        <v>88</v>
      </c>
      <c r="B74" s="86">
        <f t="shared" ref="B74:AG74" si="214">IFERROR(+B45/B37,0)</f>
        <v>-0.69540404197815608</v>
      </c>
      <c r="C74" s="86">
        <f t="shared" si="214"/>
        <v>-1.0046505834601724</v>
      </c>
      <c r="D74" s="86">
        <f t="shared" si="214"/>
        <v>4.097946935068349E-3</v>
      </c>
      <c r="E74" s="86">
        <f t="shared" si="214"/>
        <v>-0.12209704732368809</v>
      </c>
      <c r="F74" s="86">
        <f t="shared" si="214"/>
        <v>0</v>
      </c>
      <c r="G74" s="86">
        <f t="shared" si="214"/>
        <v>7.0433991109076166E-2</v>
      </c>
      <c r="H74" s="86">
        <f t="shared" si="214"/>
        <v>3.0330671454897699E-2</v>
      </c>
      <c r="I74" s="86">
        <f t="shared" si="214"/>
        <v>5.6015614428019514E-2</v>
      </c>
      <c r="J74" s="86">
        <f t="shared" si="214"/>
        <v>7.2394025803244819E-2</v>
      </c>
      <c r="K74" s="86">
        <f t="shared" si="214"/>
        <v>0.10477313177789936</v>
      </c>
      <c r="L74" s="86">
        <f t="shared" si="214"/>
        <v>7.9525944055944056E-2</v>
      </c>
      <c r="M74" s="86">
        <f t="shared" si="214"/>
        <v>9.881135897435897E-2</v>
      </c>
      <c r="N74" s="86">
        <f t="shared" si="214"/>
        <v>6.9971800074283386E-2</v>
      </c>
      <c r="O74" s="86">
        <f t="shared" si="214"/>
        <v>5.0502862966829487E-2</v>
      </c>
      <c r="P74" s="86">
        <f t="shared" si="214"/>
        <v>0.34596574334964425</v>
      </c>
      <c r="Q74" s="86">
        <f t="shared" si="214"/>
        <v>0.1023355416454468</v>
      </c>
      <c r="R74" s="86">
        <f t="shared" si="214"/>
        <v>0.12365422028764012</v>
      </c>
      <c r="S74" s="86">
        <f t="shared" si="214"/>
        <v>-3.2882951269951159</v>
      </c>
      <c r="T74" s="86">
        <f t="shared" si="214"/>
        <v>9.9662203703599891E-2</v>
      </c>
      <c r="U74" s="86">
        <f t="shared" si="214"/>
        <v>4.5064045725553274E-2</v>
      </c>
      <c r="V74" s="86">
        <f t="shared" si="214"/>
        <v>5.5322207700814315E-2</v>
      </c>
      <c r="W74" s="86">
        <f t="shared" si="214"/>
        <v>4.2477346272349892E-2</v>
      </c>
      <c r="X74" s="86">
        <f t="shared" si="214"/>
        <v>-6.3648198537819348E-3</v>
      </c>
      <c r="Y74" s="86">
        <f t="shared" si="214"/>
        <v>6.9566715153583343E-3</v>
      </c>
      <c r="Z74" s="86">
        <f t="shared" si="214"/>
        <v>0</v>
      </c>
      <c r="AA74" s="86">
        <f t="shared" si="214"/>
        <v>0</v>
      </c>
      <c r="AB74" s="86">
        <f t="shared" si="214"/>
        <v>0</v>
      </c>
      <c r="AC74" s="86">
        <f t="shared" si="214"/>
        <v>-6.5087119999999998E-2</v>
      </c>
      <c r="AD74" s="86">
        <f t="shared" si="214"/>
        <v>8.4760590678922235E-2</v>
      </c>
      <c r="AE74" s="86">
        <f t="shared" si="214"/>
        <v>7.2153350197236635E-2</v>
      </c>
      <c r="AF74" s="86">
        <f t="shared" si="214"/>
        <v>0.16197942553814104</v>
      </c>
      <c r="AG74" s="86">
        <f t="shared" si="214"/>
        <v>-4.0812755232791119E-2</v>
      </c>
      <c r="AH74" s="86">
        <f t="shared" ref="AH74:BW74" si="215">IFERROR(+AH45/AH37,0)</f>
        <v>0.67419300926682479</v>
      </c>
      <c r="AI74" s="86">
        <f t="shared" si="215"/>
        <v>0.58962556096252472</v>
      </c>
      <c r="AJ74" s="86">
        <f t="shared" si="215"/>
        <v>7.7359040562291315E-2</v>
      </c>
      <c r="AK74" s="86">
        <f t="shared" si="215"/>
        <v>-3.4189176912536444E-2</v>
      </c>
      <c r="AL74" s="86">
        <f t="shared" si="215"/>
        <v>7.1541853241682066E-2</v>
      </c>
      <c r="AM74" s="86">
        <f t="shared" si="215"/>
        <v>2.1603486151989856E-2</v>
      </c>
      <c r="AN74" s="86">
        <f t="shared" si="215"/>
        <v>5.4218310397553517E-2</v>
      </c>
      <c r="AO74" s="86">
        <f t="shared" si="215"/>
        <v>7.0324610271742333E-2</v>
      </c>
      <c r="AP74" s="86">
        <f t="shared" si="215"/>
        <v>0.10230427776736441</v>
      </c>
      <c r="AQ74" s="86">
        <f t="shared" si="215"/>
        <v>-0.26035684069802456</v>
      </c>
      <c r="AR74" s="86">
        <f t="shared" si="215"/>
        <v>6.1467474360137123E-2</v>
      </c>
      <c r="AS74" s="86">
        <f t="shared" si="215"/>
        <v>7.3586157583139022E-2</v>
      </c>
      <c r="AT74" s="86">
        <f t="shared" si="215"/>
        <v>0</v>
      </c>
      <c r="AU74" s="86">
        <f t="shared" si="215"/>
        <v>-1.4523795674868403</v>
      </c>
      <c r="AV74" s="86">
        <f t="shared" si="215"/>
        <v>7.9440623511311939E-2</v>
      </c>
      <c r="AW74" s="86">
        <f t="shared" si="215"/>
        <v>0.12233506360972395</v>
      </c>
      <c r="AX74" s="86">
        <f t="shared" si="215"/>
        <v>0.11501095593024097</v>
      </c>
      <c r="AY74" s="86">
        <f t="shared" si="215"/>
        <v>-0.17722636935876909</v>
      </c>
      <c r="AZ74" s="86">
        <f t="shared" si="215"/>
        <v>5.293369730631934E-2</v>
      </c>
      <c r="BA74" s="86">
        <f t="shared" si="215"/>
        <v>4.8007052522466384E-2</v>
      </c>
      <c r="BB74" s="86">
        <f t="shared" si="215"/>
        <v>0.15761756183461001</v>
      </c>
      <c r="BC74" s="86">
        <f t="shared" si="215"/>
        <v>1.8446571725822137E-2</v>
      </c>
      <c r="BD74" s="86">
        <f t="shared" si="215"/>
        <v>-0.69540404197815608</v>
      </c>
      <c r="BE74" s="86">
        <f t="shared" si="215"/>
        <v>-1.0046505834601724</v>
      </c>
      <c r="BF74" s="86">
        <f>IFERROR(+BF45/BF37,0)</f>
        <v>6.142352809603812E-2</v>
      </c>
      <c r="BG74" s="86">
        <f>IFERROR(+BG45/BG37,0)</f>
        <v>3.4826955112326884E-2</v>
      </c>
      <c r="BH74" s="86">
        <f>IFERROR(+BH45/BH37,0)</f>
        <v>6.0549017294463034E-2</v>
      </c>
      <c r="BI74" s="86">
        <f>IFERROR(+BI45/BI37,0)</f>
        <v>5.7580116360664249E-2</v>
      </c>
      <c r="BJ74" s="86"/>
      <c r="BK74" s="86"/>
      <c r="BL74" s="86"/>
      <c r="BM74" s="86"/>
      <c r="BN74" s="86"/>
      <c r="BO74" s="86"/>
      <c r="BP74" s="86"/>
      <c r="BQ74" s="86"/>
      <c r="BR74" s="86"/>
      <c r="BS74" s="86"/>
      <c r="BT74" s="86"/>
      <c r="BU74" s="86"/>
      <c r="BV74" s="86">
        <f t="shared" si="215"/>
        <v>8.9638349906495898E-2</v>
      </c>
      <c r="BW74" s="86">
        <f t="shared" si="215"/>
        <v>-6.3935365335525546E-2</v>
      </c>
    </row>
    <row r="75" spans="1:75" x14ac:dyDescent="0.2">
      <c r="A75" s="207" t="s">
        <v>89</v>
      </c>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row>
    <row r="76" spans="1:75" ht="24" x14ac:dyDescent="0.2">
      <c r="A76" s="204" t="s">
        <v>194</v>
      </c>
      <c r="B76" s="205">
        <f t="shared" ref="B76:W76" si="216">B10-B14</f>
        <v>-65623213</v>
      </c>
      <c r="C76" s="205">
        <f t="shared" si="216"/>
        <v>-74024981</v>
      </c>
      <c r="D76" s="205">
        <f t="shared" si="216"/>
        <v>99487757</v>
      </c>
      <c r="E76" s="205">
        <f t="shared" si="216"/>
        <v>75177872</v>
      </c>
      <c r="F76" s="205">
        <f t="shared" si="216"/>
        <v>0</v>
      </c>
      <c r="G76" s="205">
        <f t="shared" si="216"/>
        <v>478856000</v>
      </c>
      <c r="H76" s="205">
        <f t="shared" si="216"/>
        <v>41837389</v>
      </c>
      <c r="I76" s="205">
        <f t="shared" si="216"/>
        <v>43949889</v>
      </c>
      <c r="J76" s="205">
        <f t="shared" si="216"/>
        <v>913250259</v>
      </c>
      <c r="K76" s="205">
        <f t="shared" si="216"/>
        <v>1079269207</v>
      </c>
      <c r="L76" s="205">
        <f t="shared" si="216"/>
        <v>53660007</v>
      </c>
      <c r="M76" s="205">
        <f t="shared" si="216"/>
        <v>61107293</v>
      </c>
      <c r="N76" s="205">
        <f t="shared" si="216"/>
        <v>973802974</v>
      </c>
      <c r="O76" s="205">
        <f t="shared" si="216"/>
        <v>1387048737</v>
      </c>
      <c r="P76" s="205">
        <f t="shared" si="216"/>
        <v>3737804646</v>
      </c>
      <c r="Q76" s="205">
        <f t="shared" si="216"/>
        <v>5822422799</v>
      </c>
      <c r="R76" s="205">
        <f t="shared" si="216"/>
        <v>5455817688</v>
      </c>
      <c r="S76" s="205">
        <f t="shared" si="216"/>
        <v>7157803700</v>
      </c>
      <c r="T76" s="205">
        <f t="shared" si="216"/>
        <v>794874598</v>
      </c>
      <c r="U76" s="205">
        <f t="shared" si="216"/>
        <v>904581405</v>
      </c>
      <c r="V76" s="205">
        <f t="shared" si="216"/>
        <v>11934400</v>
      </c>
      <c r="W76" s="205">
        <f t="shared" si="216"/>
        <v>7640445</v>
      </c>
      <c r="X76" s="205">
        <f t="shared" ref="X76:Y76" si="217">X10-X14</f>
        <v>125182546</v>
      </c>
      <c r="Y76" s="205">
        <f t="shared" si="217"/>
        <v>130230997</v>
      </c>
      <c r="Z76" s="205">
        <f t="shared" ref="Z76:AA76" si="218">Z10-Z14</f>
        <v>0</v>
      </c>
      <c r="AA76" s="205">
        <f t="shared" si="218"/>
        <v>150000</v>
      </c>
      <c r="AB76" s="205">
        <f t="shared" ref="AB76:AC76" si="219">AB10-AB14</f>
        <v>0</v>
      </c>
      <c r="AC76" s="205">
        <f t="shared" si="219"/>
        <v>616150202</v>
      </c>
      <c r="AD76" s="205">
        <f t="shared" ref="AD76:AK76" si="220">AD10-AD14</f>
        <v>113062863178</v>
      </c>
      <c r="AE76" s="205">
        <f t="shared" si="220"/>
        <v>129708948206</v>
      </c>
      <c r="AF76" s="205">
        <f t="shared" si="220"/>
        <v>293811666</v>
      </c>
      <c r="AG76" s="205">
        <f t="shared" si="220"/>
        <v>287297001</v>
      </c>
      <c r="AH76" s="205">
        <f t="shared" si="220"/>
        <v>368811689</v>
      </c>
      <c r="AI76" s="205">
        <f t="shared" si="220"/>
        <v>320458127</v>
      </c>
      <c r="AJ76" s="205">
        <f t="shared" si="220"/>
        <v>12127747</v>
      </c>
      <c r="AK76" s="205">
        <f t="shared" si="220"/>
        <v>5944008</v>
      </c>
      <c r="AL76" s="205">
        <f t="shared" ref="AL76:AM76" si="221">AL10-AL14</f>
        <v>-4053017</v>
      </c>
      <c r="AM76" s="205">
        <f t="shared" si="221"/>
        <v>377636216</v>
      </c>
      <c r="AN76" s="205">
        <f t="shared" ref="AN76:AU76" si="222">AN10-AN14</f>
        <v>31754584</v>
      </c>
      <c r="AO76" s="205">
        <f t="shared" si="222"/>
        <v>39244936</v>
      </c>
      <c r="AP76" s="205">
        <f t="shared" si="222"/>
        <v>600278444</v>
      </c>
      <c r="AQ76" s="205">
        <f t="shared" si="222"/>
        <v>421074124</v>
      </c>
      <c r="AR76" s="205">
        <f t="shared" si="222"/>
        <v>4200949597</v>
      </c>
      <c r="AS76" s="205">
        <f t="shared" si="222"/>
        <v>4624189296</v>
      </c>
      <c r="AT76" s="205">
        <f t="shared" si="222"/>
        <v>-45114202</v>
      </c>
      <c r="AU76" s="205">
        <f t="shared" si="222"/>
        <v>-150616130</v>
      </c>
      <c r="AV76" s="205">
        <f t="shared" ref="AV76:AW76" si="223">AV10-AV14</f>
        <v>7300480883</v>
      </c>
      <c r="AW76" s="205">
        <f t="shared" si="223"/>
        <v>10942278966</v>
      </c>
      <c r="AX76" s="205">
        <f>AX10-AX14</f>
        <v>63348402</v>
      </c>
      <c r="AY76" s="205">
        <f>AY10-AY14</f>
        <v>49493362</v>
      </c>
      <c r="AZ76" s="205">
        <f>AZ10-AZ14</f>
        <v>1931231767</v>
      </c>
      <c r="BA76" s="205">
        <f>BA10-BA14</f>
        <v>707556063</v>
      </c>
      <c r="BB76" s="205">
        <f t="shared" ref="BB76:BE76" si="224">BB10-BB14</f>
        <v>1682799000</v>
      </c>
      <c r="BC76" s="205">
        <f t="shared" si="224"/>
        <v>2321998000</v>
      </c>
      <c r="BD76" s="205">
        <f t="shared" si="224"/>
        <v>-65623213</v>
      </c>
      <c r="BE76" s="205">
        <f t="shared" si="224"/>
        <v>-74024981</v>
      </c>
      <c r="BF76" s="205">
        <f>BF10-BF14</f>
        <v>1343639260</v>
      </c>
      <c r="BG76" s="205">
        <f>BG10-BG14</f>
        <v>1388615822</v>
      </c>
      <c r="BH76" s="205">
        <f>BH10-BH14</f>
        <v>1880343244</v>
      </c>
      <c r="BI76" s="205">
        <f>BI10-BI14</f>
        <v>2133913756</v>
      </c>
      <c r="BJ76" s="205"/>
      <c r="BK76" s="205"/>
      <c r="BL76" s="205"/>
      <c r="BM76" s="205"/>
      <c r="BN76" s="205"/>
      <c r="BO76" s="205"/>
      <c r="BP76" s="205"/>
      <c r="BQ76" s="205"/>
      <c r="BR76" s="205"/>
      <c r="BS76" s="205"/>
      <c r="BT76" s="205"/>
      <c r="BU76" s="205"/>
      <c r="BV76" s="205">
        <f t="shared" ref="BV76:BW76" si="225">BV10-BV14</f>
        <v>148589362396</v>
      </c>
      <c r="BW76" s="205">
        <f t="shared" si="225"/>
        <v>175467008475</v>
      </c>
    </row>
    <row r="77" spans="1:75" x14ac:dyDescent="0.2">
      <c r="A77" s="207" t="s">
        <v>219</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row>
    <row r="78" spans="1:75" x14ac:dyDescent="0.2">
      <c r="A78" s="96" t="s">
        <v>220</v>
      </c>
      <c r="B78" s="86"/>
      <c r="C78" s="86">
        <f>IFERROR(C12/B12-1,"")</f>
        <v>-0.20209597411133207</v>
      </c>
      <c r="D78" s="86"/>
      <c r="E78" s="86">
        <f>IFERROR(E12/D12-1,"")</f>
        <v>1.298597330508855E-2</v>
      </c>
      <c r="F78" s="86"/>
      <c r="G78" s="86" t="str">
        <f>IFERROR(G12/F12-1,"")</f>
        <v/>
      </c>
      <c r="H78" s="86"/>
      <c r="I78" s="86">
        <f>IFERROR(I12/H12-1,"")</f>
        <v>-7.6418174523300575E-3</v>
      </c>
      <c r="J78" s="86"/>
      <c r="K78" s="86">
        <f>IFERROR(K12/J12-1,"")</f>
        <v>2.1286497936772397E-2</v>
      </c>
      <c r="L78" s="86"/>
      <c r="M78" s="86">
        <f>IFERROR(M12/L12-1,"")</f>
        <v>2.2311389558011818E-2</v>
      </c>
      <c r="N78" s="86"/>
      <c r="O78" s="86">
        <f>IFERROR(O12/N12-1,"")</f>
        <v>-0.18426076882969378</v>
      </c>
      <c r="P78" s="86"/>
      <c r="Q78" s="86">
        <f>IFERROR(Q12/P12-1,"")</f>
        <v>0.49672537112929538</v>
      </c>
      <c r="R78" s="86"/>
      <c r="S78" s="86">
        <f>IFERROR(S12/R12-1,"")</f>
        <v>0.13883264325093991</v>
      </c>
      <c r="T78" s="86"/>
      <c r="U78" s="86">
        <f>IFERROR(U12/T12-1,"")</f>
        <v>0.11988232134656629</v>
      </c>
      <c r="V78" s="86"/>
      <c r="W78" s="86">
        <f>IFERROR(W12/V12-1,"")</f>
        <v>-1.2609260644215525E-2</v>
      </c>
      <c r="X78" s="86"/>
      <c r="Y78" s="86">
        <f>IFERROR(Y12/X12-1,"")</f>
        <v>0.15889584405893298</v>
      </c>
      <c r="Z78" s="86"/>
      <c r="AA78" s="86" t="str">
        <f>IFERROR(AA12/Z12-1,"")</f>
        <v/>
      </c>
      <c r="AB78" s="86"/>
      <c r="AC78" s="86" t="str">
        <f>IFERROR(AC12/AB12-1,"")</f>
        <v/>
      </c>
      <c r="AD78" s="86"/>
      <c r="AE78" s="86">
        <f>IFERROR(AE12/AD12-1,"")</f>
        <v>-0.22808620054165163</v>
      </c>
      <c r="AF78" s="86"/>
      <c r="AG78" s="86">
        <f>IFERROR(AG12/AF12-1,"")</f>
        <v>-0.30157059137780307</v>
      </c>
      <c r="AH78" s="86"/>
      <c r="AI78" s="86">
        <f>IFERROR(AI12/AH12-1,"")</f>
        <v>-0.11834747089718278</v>
      </c>
      <c r="AJ78" s="86"/>
      <c r="AK78" s="86">
        <f>IFERROR(AK12/AJ12-1,"")</f>
        <v>3.5941955221802102E-2</v>
      </c>
      <c r="AL78" s="86"/>
      <c r="AM78" s="86">
        <f>IFERROR(AM12/AL12-1,"")</f>
        <v>-6.8979745442560914E-2</v>
      </c>
      <c r="AN78" s="86"/>
      <c r="AO78" s="86">
        <f>IFERROR(AO12/AN12-1,"")</f>
        <v>2.0281016658680207E-2</v>
      </c>
      <c r="AP78" s="86"/>
      <c r="AQ78" s="86">
        <f>IFERROR(AQ12/AP12-1,"")</f>
        <v>0.32658054162635319</v>
      </c>
      <c r="AR78" s="86"/>
      <c r="AS78" s="86">
        <f>IFERROR(AS12/AR12-1,"")</f>
        <v>0.12381932722277345</v>
      </c>
      <c r="AT78" s="86"/>
      <c r="AU78" s="86">
        <f>IFERROR(AU12/AT12-1,"")</f>
        <v>0.870303535785798</v>
      </c>
      <c r="AV78" s="86"/>
      <c r="AW78" s="86">
        <f>IFERROR(AW12/AV12-1,"")</f>
        <v>-0.13104916419073087</v>
      </c>
      <c r="AX78" s="86"/>
      <c r="AY78" s="86">
        <f>IFERROR(AY12/AX12-1,"")</f>
        <v>-0.15870976966497452</v>
      </c>
      <c r="AZ78" s="86"/>
      <c r="BA78" s="86">
        <f>IFERROR(BA12/AZ12-1,"")</f>
        <v>-4.5363817799226269E-2</v>
      </c>
      <c r="BB78" s="86"/>
      <c r="BC78" s="86">
        <f>IFERROR(BC12/BB12-1,"")</f>
        <v>0.11942384309127219</v>
      </c>
      <c r="BD78" s="86"/>
      <c r="BE78" s="86">
        <f>IFERROR(BE12/BD12-1,"")</f>
        <v>-0.20209596580004296</v>
      </c>
      <c r="BF78" s="86"/>
      <c r="BG78" s="86">
        <f>IFERROR(BG12/BF12-1,"")</f>
        <v>0.23638689517230183</v>
      </c>
      <c r="BH78" s="86"/>
      <c r="BI78" s="86">
        <f>IFERROR(BI12/BH12-1,"")</f>
        <v>0.3896512327365258</v>
      </c>
      <c r="BJ78" s="86"/>
      <c r="BK78" s="86"/>
      <c r="BL78" s="86"/>
      <c r="BM78" s="86"/>
      <c r="BN78" s="86"/>
      <c r="BO78" s="86"/>
      <c r="BP78" s="86"/>
      <c r="BQ78" s="86"/>
      <c r="BR78" s="86"/>
      <c r="BS78" s="86"/>
      <c r="BT78" s="86"/>
      <c r="BU78" s="86"/>
      <c r="BV78" s="86"/>
      <c r="BW78" s="86">
        <f>IFERROR(BW12/BV12-1,"")</f>
        <v>-0.1632765549887859</v>
      </c>
    </row>
    <row r="79" spans="1:75" x14ac:dyDescent="0.2">
      <c r="A79" s="96" t="s">
        <v>221</v>
      </c>
      <c r="B79" s="86"/>
      <c r="C79" s="86">
        <f>IFERROR(C16/B16-1,"")</f>
        <v>1.0917980762690136</v>
      </c>
      <c r="D79" s="86"/>
      <c r="E79" s="86">
        <f>IFERROR(E16/D16-1,"")</f>
        <v>0.29654060893011325</v>
      </c>
      <c r="F79" s="86"/>
      <c r="G79" s="86" t="str">
        <f>IFERROR(G16/F16-1,"")</f>
        <v/>
      </c>
      <c r="H79" s="86"/>
      <c r="I79" s="86">
        <f>IFERROR(I16/H16-1,"")</f>
        <v>-0.57913050025978063</v>
      </c>
      <c r="J79" s="86"/>
      <c r="K79" s="86">
        <f>IFERROR(K16/J16-1,"")</f>
        <v>-8.124315013824146E-2</v>
      </c>
      <c r="L79" s="86"/>
      <c r="M79" s="86">
        <f>IFERROR(M16/L16-1,"")</f>
        <v>-0.38519861690313129</v>
      </c>
      <c r="N79" s="86"/>
      <c r="O79" s="86">
        <f>IFERROR(O16/N16-1,"")</f>
        <v>-0.26208599561893442</v>
      </c>
      <c r="P79" s="86"/>
      <c r="Q79" s="86">
        <f>IFERROR(Q16/P16-1,"")</f>
        <v>0.52476855925336041</v>
      </c>
      <c r="R79" s="86"/>
      <c r="S79" s="86">
        <f>IFERROR(S16/R16-1,"")</f>
        <v>0.16416532091675484</v>
      </c>
      <c r="T79" s="86"/>
      <c r="U79" s="86">
        <f>IFERROR(U16/T16-1,"")</f>
        <v>0.51658686171773982</v>
      </c>
      <c r="V79" s="86"/>
      <c r="W79" s="86">
        <f>IFERROR(W16/V16-1,"")</f>
        <v>-0.31434139921028648</v>
      </c>
      <c r="X79" s="86"/>
      <c r="Y79" s="86">
        <f>IFERROR(Y16/X16-1,"")</f>
        <v>0.97442290345104032</v>
      </c>
      <c r="Z79" s="86"/>
      <c r="AA79" s="86" t="str">
        <f>IFERROR(AA16/Z16-1,"")</f>
        <v/>
      </c>
      <c r="AB79" s="86"/>
      <c r="AC79" s="86" t="str">
        <f>IFERROR(AC16/AB16-1,"")</f>
        <v/>
      </c>
      <c r="AD79" s="86"/>
      <c r="AE79" s="86">
        <f>IFERROR(AE16/AD16-1,"")</f>
        <v>-0.35113720428001238</v>
      </c>
      <c r="AF79" s="86"/>
      <c r="AG79" s="86">
        <f>IFERROR(AG16/AF16-1,"")</f>
        <v>-0.49869873539449128</v>
      </c>
      <c r="AH79" s="86"/>
      <c r="AI79" s="86">
        <f>IFERROR(AI16/AH16-1,"")</f>
        <v>0.69094505116519045</v>
      </c>
      <c r="AJ79" s="86"/>
      <c r="AK79" s="86">
        <f>IFERROR(AK16/AJ16-1,"")</f>
        <v>0.20355331977834434</v>
      </c>
      <c r="AL79" s="86"/>
      <c r="AM79" s="86">
        <f>IFERROR(AM16/AL16-1,"")</f>
        <v>-9.3759080754341029E-2</v>
      </c>
      <c r="AN79" s="86"/>
      <c r="AO79" s="86">
        <f>IFERROR(AO16/AN16-1,"")</f>
        <v>0.20656698416426411</v>
      </c>
      <c r="AP79" s="86"/>
      <c r="AQ79" s="86">
        <f>IFERROR(AQ16/AP16-1,"")</f>
        <v>0.11876742823412512</v>
      </c>
      <c r="AR79" s="86"/>
      <c r="AS79" s="86">
        <f>IFERROR(AS16/AR16-1,"")</f>
        <v>0.74711610198303524</v>
      </c>
      <c r="AT79" s="86"/>
      <c r="AU79" s="86">
        <f>IFERROR(AU16/AT16-1,"")</f>
        <v>3.0888696257095454</v>
      </c>
      <c r="AV79" s="86"/>
      <c r="AW79" s="86">
        <f>IFERROR(AW16/AV16-1,"")</f>
        <v>-0.19490905527205571</v>
      </c>
      <c r="AX79" s="86"/>
      <c r="AY79" s="86">
        <f>IFERROR(AY16/AX16-1,"")</f>
        <v>-0.25160637762741145</v>
      </c>
      <c r="AZ79" s="86"/>
      <c r="BA79" s="86">
        <f>IFERROR(BA16/AZ16-1,"")</f>
        <v>1.7750611241786896E-3</v>
      </c>
      <c r="BB79" s="86"/>
      <c r="BC79" s="86">
        <f>IFERROR(BC16/BB16-1,"")</f>
        <v>7.1214155129295742E-2</v>
      </c>
      <c r="BD79" s="86"/>
      <c r="BE79" s="86">
        <f>IFERROR(BE16/BD16-1,"")</f>
        <v>1.0917980762690136</v>
      </c>
      <c r="BF79" s="86"/>
      <c r="BG79" s="86">
        <f>IFERROR(BG16/BF16-1,"")</f>
        <v>0.32433500919963576</v>
      </c>
      <c r="BH79" s="86"/>
      <c r="BI79" s="86">
        <f>IFERROR(BI16/BH16-1,"")</f>
        <v>1.2035344069402507</v>
      </c>
      <c r="BJ79" s="86"/>
      <c r="BK79" s="86"/>
      <c r="BL79" s="86"/>
      <c r="BM79" s="86"/>
      <c r="BN79" s="86"/>
      <c r="BO79" s="86"/>
      <c r="BP79" s="86"/>
      <c r="BQ79" s="86"/>
      <c r="BR79" s="86"/>
      <c r="BS79" s="86"/>
      <c r="BT79" s="86"/>
      <c r="BU79" s="86"/>
      <c r="BV79" s="86"/>
      <c r="BW79" s="86">
        <f>IFERROR(BW16/BV16-1,"")</f>
        <v>-0.28390750983571544</v>
      </c>
    </row>
    <row r="80" spans="1:75" x14ac:dyDescent="0.2">
      <c r="A80" s="96" t="s">
        <v>222</v>
      </c>
      <c r="B80" s="86"/>
      <c r="C80" s="86">
        <f>IFERROR(C32/B32-1,"")</f>
        <v>-8.8669247155769764</v>
      </c>
      <c r="D80" s="86"/>
      <c r="E80" s="86">
        <f>IFERROR(E32/D32-1,"")</f>
        <v>-7.336573182327466E-2</v>
      </c>
      <c r="F80" s="86"/>
      <c r="G80" s="86" t="str">
        <f>IFERROR(G32/F32-1,"")</f>
        <v/>
      </c>
      <c r="H80" s="86"/>
      <c r="I80" s="86">
        <f>IFERROR(I32/H32-1,"")</f>
        <v>4.5096741840136012E-3</v>
      </c>
      <c r="J80" s="86"/>
      <c r="K80" s="86">
        <f>IFERROR(K32/J32-1,"")</f>
        <v>0.43144619129903328</v>
      </c>
      <c r="L80" s="86"/>
      <c r="M80" s="86">
        <f>IFERROR(M32/L32-1,"")</f>
        <v>0.11718011759965163</v>
      </c>
      <c r="N80" s="86"/>
      <c r="O80" s="86">
        <f>IFERROR(O32/N32-1,"")</f>
        <v>5.2221361751316753E-3</v>
      </c>
      <c r="P80" s="86"/>
      <c r="Q80" s="86">
        <f>IFERROR(Q32/P32-1,"")</f>
        <v>0.42694579428952761</v>
      </c>
      <c r="R80" s="86"/>
      <c r="S80" s="86">
        <f>IFERROR(S32/R32-1,"")</f>
        <v>0.12686104788820063</v>
      </c>
      <c r="T80" s="86"/>
      <c r="U80" s="86">
        <f>IFERROR(U32/T32-1,"")</f>
        <v>7.0457697379382012E-2</v>
      </c>
      <c r="V80" s="86"/>
      <c r="W80" s="86">
        <f>IFERROR(W32/V32-1,"")</f>
        <v>-8.1076087703569888E-3</v>
      </c>
      <c r="X80" s="86"/>
      <c r="Y80" s="86">
        <f>IFERROR(Y32/X32-1,"")</f>
        <v>8.4808958039794824E-3</v>
      </c>
      <c r="Z80" s="86"/>
      <c r="AA80" s="86" t="str">
        <f>IFERROR(AA32/Z32-1,"")</f>
        <v/>
      </c>
      <c r="AB80" s="86"/>
      <c r="AC80" s="86" t="str">
        <f>IFERROR(AC32/AB32-1,"")</f>
        <v/>
      </c>
      <c r="AD80" s="86"/>
      <c r="AE80" s="86">
        <f>IFERROR(AE32/AD32-1,"")</f>
        <v>0.10333049105278747</v>
      </c>
      <c r="AF80" s="86"/>
      <c r="AG80" s="86">
        <f>IFERROR(AG32/AF32-1,"")</f>
        <v>-7.7139745970005502E-2</v>
      </c>
      <c r="AH80" s="86"/>
      <c r="AI80" s="86">
        <f>IFERROR(AI32/AH32-1,"")</f>
        <v>-0.13110637065518826</v>
      </c>
      <c r="AJ80" s="86"/>
      <c r="AK80" s="86">
        <f>IFERROR(AK32/AJ32-1,"")</f>
        <v>-0.16551030031684388</v>
      </c>
      <c r="AL80" s="86"/>
      <c r="AM80" s="86">
        <f>IFERROR(AM32/AL32-1,"")</f>
        <v>6.4093153935670388E-2</v>
      </c>
      <c r="AN80" s="86"/>
      <c r="AO80" s="86">
        <f>IFERROR(AO32/AN32-1,"")</f>
        <v>1.2997510271250956E-2</v>
      </c>
      <c r="AP80" s="86"/>
      <c r="AQ80" s="86">
        <f>IFERROR(AQ32/AP32-1,"")</f>
        <v>0.3941560400629418</v>
      </c>
      <c r="AR80" s="86"/>
      <c r="AS80" s="86">
        <f>IFERROR(AS32/AR32-1,"")</f>
        <v>8.7646695574442823E-2</v>
      </c>
      <c r="AT80" s="86"/>
      <c r="AU80" s="86">
        <f>IFERROR(AU32/AT32-1,"")</f>
        <v>-23.180544992530937</v>
      </c>
      <c r="AV80" s="86"/>
      <c r="AW80" s="86">
        <f>IFERROR(AW32/AV32-1,"")</f>
        <v>-2.1041853177960368E-2</v>
      </c>
      <c r="AX80" s="86"/>
      <c r="AY80" s="86">
        <f>IFERROR(AY32/AX32-1,"")</f>
        <v>-0.14007415720568583</v>
      </c>
      <c r="AZ80" s="86"/>
      <c r="BA80" s="86">
        <f>IFERROR(BA32/AZ32-1,"")</f>
        <v>-7.2728925583207871E-2</v>
      </c>
      <c r="BB80" s="86"/>
      <c r="BC80" s="86">
        <f>IFERROR(BC32/BB32-1,"")</f>
        <v>0.18713197321197561</v>
      </c>
      <c r="BD80" s="86"/>
      <c r="BE80" s="86">
        <f>IFERROR(BE32/BD32-1,"")</f>
        <v>-8.8669246516074232</v>
      </c>
      <c r="BF80" s="86"/>
      <c r="BG80" s="86">
        <f>IFERROR(BG32/BF32-1,"")</f>
        <v>0.16815850984981906</v>
      </c>
      <c r="BH80" s="86"/>
      <c r="BI80" s="86">
        <f>IFERROR(BI32/BH32-1,"")</f>
        <v>0.13491202792566548</v>
      </c>
      <c r="BJ80" s="86"/>
      <c r="BK80" s="86"/>
      <c r="BL80" s="86"/>
      <c r="BM80" s="86"/>
      <c r="BN80" s="86"/>
      <c r="BO80" s="86"/>
      <c r="BP80" s="86"/>
      <c r="BQ80" s="86"/>
      <c r="BR80" s="86"/>
      <c r="BS80" s="86"/>
      <c r="BT80" s="86"/>
      <c r="BU80" s="86"/>
      <c r="BV80" s="86"/>
      <c r="BW80" s="86">
        <f>IFERROR(BW32/BV32-1,"")</f>
        <v>8.4678331188882128E-2</v>
      </c>
    </row>
    <row r="81" spans="1:75" x14ac:dyDescent="0.2">
      <c r="A81" s="96" t="s">
        <v>61</v>
      </c>
      <c r="B81" s="86"/>
      <c r="C81" s="86">
        <f>IFERROR(C37/B37-1,"")</f>
        <v>0.22862244148303823</v>
      </c>
      <c r="D81" s="86"/>
      <c r="E81" s="86">
        <f>IFERROR(E37/D37-1,"")</f>
        <v>0.37944270438090788</v>
      </c>
      <c r="F81" s="86"/>
      <c r="G81" s="86" t="str">
        <f>IFERROR(G37/F37-1,"")</f>
        <v/>
      </c>
      <c r="H81" s="86"/>
      <c r="I81" s="86">
        <f>IFERROR(I37/H37-1,"")</f>
        <v>-0.19809504796106414</v>
      </c>
      <c r="J81" s="86"/>
      <c r="K81" s="86">
        <f>IFERROR(K37/J37-1,"")</f>
        <v>0.12391963701058484</v>
      </c>
      <c r="L81" s="86"/>
      <c r="M81" s="86">
        <f>IFERROR(M37/L37-1,"")</f>
        <v>9.0909090909090828E-2</v>
      </c>
      <c r="N81" s="86"/>
      <c r="O81" s="86">
        <f>IFERROR(O37/N37-1,"")</f>
        <v>6.5653898683898593E-2</v>
      </c>
      <c r="P81" s="86"/>
      <c r="Q81" s="86">
        <f>IFERROR(Q37/P37-1,"")</f>
        <v>1.9601567091829502</v>
      </c>
      <c r="R81" s="86"/>
      <c r="S81" s="86">
        <f>IFERROR(S37/R37-1,"")</f>
        <v>0.3721990137833926</v>
      </c>
      <c r="T81" s="86"/>
      <c r="U81" s="86">
        <f>IFERROR(U37/T37-1,"")</f>
        <v>-1.2336562234835147E-2</v>
      </c>
      <c r="V81" s="86"/>
      <c r="W81" s="86">
        <f>IFERROR(W37/V37-1,"")</f>
        <v>-2.8821064139941677E-2</v>
      </c>
      <c r="X81" s="86"/>
      <c r="Y81" s="86">
        <f>IFERROR(Y37/X37-1,"")</f>
        <v>-4.9478441056723943E-2</v>
      </c>
      <c r="Z81" s="86"/>
      <c r="AA81" s="86" t="str">
        <f>IFERROR(AA37/Z37-1,"")</f>
        <v/>
      </c>
      <c r="AB81" s="86"/>
      <c r="AC81" s="86" t="str">
        <f>IFERROR(AC37/AB37-1,"")</f>
        <v/>
      </c>
      <c r="AD81" s="86"/>
      <c r="AE81" s="86">
        <f>IFERROR(AE37/AD37-1,"")</f>
        <v>0.45749103500827948</v>
      </c>
      <c r="AF81" s="86"/>
      <c r="AG81" s="86">
        <f>IFERROR(AG37/AF37-1,"")</f>
        <v>-0.49508005673035982</v>
      </c>
      <c r="AH81" s="86"/>
      <c r="AI81" s="86">
        <f>IFERROR(AI37/AH37-1,"")</f>
        <v>-0.41132380133163093</v>
      </c>
      <c r="AJ81" s="86"/>
      <c r="AK81" s="86">
        <f>IFERROR(AK37/AJ37-1,"")</f>
        <v>-0.10791320613618094</v>
      </c>
      <c r="AL81" s="86"/>
      <c r="AM81" s="86">
        <f>IFERROR(AM37/AL37-1,"")</f>
        <v>1.1311651152679945</v>
      </c>
      <c r="AN81" s="86"/>
      <c r="AO81" s="86">
        <f>IFERROR(AO37/AN37-1,"")</f>
        <v>-0.26712539755351683</v>
      </c>
      <c r="AP81" s="86"/>
      <c r="AQ81" s="86">
        <f>IFERROR(AQ37/AP37-1,"")</f>
        <v>-0.22411407114966286</v>
      </c>
      <c r="AR81" s="86"/>
      <c r="AS81" s="86">
        <f>IFERROR(AS37/AR37-1,"")</f>
        <v>1.1825504486105838</v>
      </c>
      <c r="AT81" s="86"/>
      <c r="AU81" s="86" t="str">
        <f>IFERROR(AU37/AT37-1,"")</f>
        <v/>
      </c>
      <c r="AV81" s="86"/>
      <c r="AW81" s="86">
        <f>IFERROR(AW37/AV37-1,"")</f>
        <v>2.5176202690193605E-2</v>
      </c>
      <c r="AX81" s="86"/>
      <c r="AY81" s="86">
        <f>IFERROR(AY37/AX37-1,"")</f>
        <v>-0.24968521600694693</v>
      </c>
      <c r="AZ81" s="86"/>
      <c r="BA81" s="86">
        <f>IFERROR(BA37/AZ37-1,"")</f>
        <v>0.4937920294938869</v>
      </c>
      <c r="BB81" s="86"/>
      <c r="BC81" s="86">
        <f>IFERROR(BC37/BB37-1,"")</f>
        <v>0.91962070975864219</v>
      </c>
      <c r="BD81" s="86"/>
      <c r="BE81" s="86">
        <f>IFERROR(BE37/BD37-1,"")</f>
        <v>0.22862244148303823</v>
      </c>
      <c r="BF81" s="86"/>
      <c r="BG81" s="86">
        <f>IFERROR(BG37/BF37-1,"")</f>
        <v>0.50012986134883186</v>
      </c>
      <c r="BH81" s="86"/>
      <c r="BI81" s="86">
        <f>IFERROR(BI37/BH37-1,"")</f>
        <v>0.14469381530621361</v>
      </c>
      <c r="BJ81" s="86"/>
      <c r="BK81" s="86"/>
      <c r="BL81" s="86"/>
      <c r="BM81" s="86"/>
      <c r="BN81" s="86"/>
      <c r="BO81" s="86"/>
      <c r="BP81" s="86"/>
      <c r="BQ81" s="86"/>
      <c r="BR81" s="86"/>
      <c r="BS81" s="86"/>
      <c r="BT81" s="86"/>
      <c r="BU81" s="86"/>
      <c r="BV81" s="86"/>
      <c r="BW81" s="86">
        <f>IFERROR(BW37/BV37-1,"")</f>
        <v>0.37090992687305491</v>
      </c>
    </row>
    <row r="82" spans="1:75" x14ac:dyDescent="0.2">
      <c r="A82" s="96" t="s">
        <v>223</v>
      </c>
      <c r="B82" s="86"/>
      <c r="C82" s="86" t="str">
        <f>IFERROR(C38/B38-1,"")</f>
        <v/>
      </c>
      <c r="D82" s="86"/>
      <c r="E82" s="86">
        <f>IFERROR(E38/D38-1,"")</f>
        <v>0.21277670401286541</v>
      </c>
      <c r="F82" s="86"/>
      <c r="G82" s="86" t="str">
        <f>IFERROR(G38/F38-1,"")</f>
        <v/>
      </c>
      <c r="H82" s="86"/>
      <c r="I82" s="86" t="str">
        <f>IFERROR(I38/H38-1,"")</f>
        <v/>
      </c>
      <c r="J82" s="86"/>
      <c r="K82" s="86">
        <f>IFERROR(K38/J38-1,"")</f>
        <v>-9.9986536605631726E-2</v>
      </c>
      <c r="L82" s="86"/>
      <c r="M82" s="86">
        <f>IFERROR(M38/L38-1,"")</f>
        <v>9.634263977389379E-2</v>
      </c>
      <c r="N82" s="86"/>
      <c r="O82" s="86">
        <f>IFERROR(O38/N38-1,"")</f>
        <v>0.21293696178984067</v>
      </c>
      <c r="P82" s="86"/>
      <c r="Q82" s="86">
        <f>IFERROR(Q38/P38-1,"")</f>
        <v>5.0175985648588552</v>
      </c>
      <c r="R82" s="86"/>
      <c r="S82" s="86">
        <f>IFERROR(S38/R38-1,"")</f>
        <v>9.6056822720983259E-2</v>
      </c>
      <c r="T82" s="86"/>
      <c r="U82" s="86">
        <f>IFERROR(U38/T38-1,"")</f>
        <v>1.9083160445891867E-3</v>
      </c>
      <c r="V82" s="86"/>
      <c r="W82" s="86" t="str">
        <f>IFERROR(W38/V38-1,"")</f>
        <v/>
      </c>
      <c r="X82" s="86"/>
      <c r="Y82" s="86">
        <f>IFERROR(Y38/X38-1,"")</f>
        <v>-2.7780270592820622E-2</v>
      </c>
      <c r="Z82" s="86"/>
      <c r="AA82" s="86" t="str">
        <f>IFERROR(AA38/Z38-1,"")</f>
        <v/>
      </c>
      <c r="AB82" s="86"/>
      <c r="AC82" s="86" t="str">
        <f>IFERROR(AC38/AB38-1,"")</f>
        <v/>
      </c>
      <c r="AD82" s="86"/>
      <c r="AE82" s="86">
        <f>IFERROR(AE38/AD38-1,"")</f>
        <v>0.31601581566816095</v>
      </c>
      <c r="AF82" s="86"/>
      <c r="AG82" s="86">
        <f>IFERROR(AG38/AF38-1,"")</f>
        <v>-0.40941908553959305</v>
      </c>
      <c r="AH82" s="86"/>
      <c r="AI82" s="86">
        <f>IFERROR(AI38/AH38-1,"")</f>
        <v>-0.4536832445056258</v>
      </c>
      <c r="AJ82" s="86"/>
      <c r="AK82" s="86">
        <f>IFERROR(AK38/AJ38-1,"")</f>
        <v>-6.639952643057434E-2</v>
      </c>
      <c r="AL82" s="86"/>
      <c r="AM82" s="86" t="str">
        <f>IFERROR(AM38/AL38-1,"")</f>
        <v/>
      </c>
      <c r="AN82" s="86"/>
      <c r="AO82" s="86">
        <f>IFERROR(AO38/AN38-1,"")</f>
        <v>-0.94388936427017578</v>
      </c>
      <c r="AP82" s="86"/>
      <c r="AQ82" s="86">
        <f>IFERROR(AQ38/AP38-1,"")</f>
        <v>0.59274800272490458</v>
      </c>
      <c r="AR82" s="86"/>
      <c r="AS82" s="86">
        <f>IFERROR(AS38/AR38-1,"")</f>
        <v>0.85358461058521518</v>
      </c>
      <c r="AT82" s="86"/>
      <c r="AU82" s="86" t="str">
        <f>IFERROR(AU38/AT38-1,"")</f>
        <v/>
      </c>
      <c r="AV82" s="86"/>
      <c r="AW82" s="86">
        <f>IFERROR(AW38/AV38-1,"")</f>
        <v>0.29934070484873465</v>
      </c>
      <c r="AX82" s="86"/>
      <c r="AY82" s="86" t="str">
        <f>IFERROR(AY38/AX38-1,"")</f>
        <v/>
      </c>
      <c r="AZ82" s="86"/>
      <c r="BA82" s="86">
        <f>IFERROR(BA38/AZ38-1,"")</f>
        <v>612.50029193427304</v>
      </c>
      <c r="BB82" s="86"/>
      <c r="BC82" s="86">
        <f>IFERROR(BC38/BB38-1,"")</f>
        <v>1.5930789988360954</v>
      </c>
      <c r="BD82" s="86"/>
      <c r="BE82" s="86" t="str">
        <f>IFERROR(BE38/BD38-1,"")</f>
        <v/>
      </c>
      <c r="BF82" s="86"/>
      <c r="BG82" s="86">
        <f>IFERROR(BG38/BF38-1,"")</f>
        <v>0.43583242625240781</v>
      </c>
      <c r="BH82" s="86"/>
      <c r="BI82" s="86" t="str">
        <f>IFERROR(BI38/BH38-1,"")</f>
        <v/>
      </c>
      <c r="BJ82" s="86"/>
      <c r="BK82" s="86"/>
      <c r="BL82" s="86"/>
      <c r="BM82" s="86"/>
      <c r="BN82" s="86"/>
      <c r="BO82" s="86"/>
      <c r="BP82" s="86"/>
      <c r="BQ82" s="86"/>
      <c r="BR82" s="86"/>
      <c r="BS82" s="86"/>
      <c r="BT82" s="86"/>
      <c r="BU82" s="86"/>
      <c r="BV82" s="86"/>
      <c r="BW82" s="86">
        <f>IFERROR(BW38/BV38-1,"")</f>
        <v>0.40505269966250501</v>
      </c>
    </row>
    <row r="83" spans="1:75" x14ac:dyDescent="0.2">
      <c r="A83" s="96" t="s">
        <v>224</v>
      </c>
      <c r="B83" s="86"/>
      <c r="C83" s="86">
        <f>IFERROR(C39/B39-1,"")</f>
        <v>0.72140212511880741</v>
      </c>
      <c r="D83" s="86"/>
      <c r="E83" s="86">
        <f>IFERROR(E39/D39-1,"")</f>
        <v>2.9673933255307761E-2</v>
      </c>
      <c r="F83" s="86"/>
      <c r="G83" s="86" t="str">
        <f>IFERROR(G39/F39-1,"")</f>
        <v/>
      </c>
      <c r="H83" s="86"/>
      <c r="I83" s="86">
        <f>IFERROR(I39/H39-1,"")</f>
        <v>-0.23705840720873406</v>
      </c>
      <c r="J83" s="86"/>
      <c r="K83" s="86">
        <f>IFERROR(K39/J39-1,"")</f>
        <v>0.52889917980225198</v>
      </c>
      <c r="L83" s="86"/>
      <c r="M83" s="86" t="str">
        <f>IFERROR(M39/L39-1,"")</f>
        <v/>
      </c>
      <c r="N83" s="86"/>
      <c r="O83" s="86">
        <f>IFERROR(O39/N39-1,"")</f>
        <v>4.7061531991688277E-2</v>
      </c>
      <c r="P83" s="86"/>
      <c r="Q83" s="86">
        <f>IFERROR(Q39/P39-1,"")</f>
        <v>1.6477055574984019</v>
      </c>
      <c r="R83" s="86"/>
      <c r="S83" s="86">
        <f>IFERROR(S39/R39-1,"")</f>
        <v>0.78031419156995407</v>
      </c>
      <c r="T83" s="86"/>
      <c r="U83" s="86">
        <f>IFERROR(U39/T39-1,"")</f>
        <v>0.95819946425840463</v>
      </c>
      <c r="V83" s="86"/>
      <c r="W83" s="86">
        <f>IFERROR(W39/V39-1,"")</f>
        <v>3.0735824789962507E-3</v>
      </c>
      <c r="X83" s="86"/>
      <c r="Y83" s="86">
        <f>IFERROR(Y39/X39-1,"")</f>
        <v>-5.9393703966845179E-2</v>
      </c>
      <c r="Z83" s="86"/>
      <c r="AA83" s="86" t="str">
        <f>IFERROR(AA39/Z39-1,"")</f>
        <v/>
      </c>
      <c r="AB83" s="86"/>
      <c r="AC83" s="86" t="str">
        <f>IFERROR(AC39/AB39-1,"")</f>
        <v/>
      </c>
      <c r="AD83" s="86"/>
      <c r="AE83" s="86">
        <f>IFERROR(AE39/AD39-1,"")</f>
        <v>0.23333295345541027</v>
      </c>
      <c r="AF83" s="86"/>
      <c r="AG83" s="86">
        <f>IFERROR(AG39/AF39-1,"")</f>
        <v>0.17864323464116838</v>
      </c>
      <c r="AH83" s="86"/>
      <c r="AI83" s="86">
        <f>IFERROR(AI39/AH39-1,"")</f>
        <v>0.87282767982769505</v>
      </c>
      <c r="AJ83" s="86"/>
      <c r="AK83" s="86">
        <f>IFERROR(AK39/AJ39-1,"")</f>
        <v>2.0006089445714137E-2</v>
      </c>
      <c r="AL83" s="86"/>
      <c r="AM83" s="86">
        <f>IFERROR(AM39/AL39-1,"")</f>
        <v>0.6423631360630695</v>
      </c>
      <c r="AN83" s="86"/>
      <c r="AO83" s="86">
        <f>IFERROR(AO39/AN39-1,"")</f>
        <v>0.1840066218099663</v>
      </c>
      <c r="AP83" s="86"/>
      <c r="AQ83" s="86">
        <f>IFERROR(AQ39/AP39-1,"")</f>
        <v>0.10058807329372299</v>
      </c>
      <c r="AR83" s="86"/>
      <c r="AS83" s="86">
        <f>IFERROR(AS39/AR39-1,"")</f>
        <v>1.7367512733816843</v>
      </c>
      <c r="AT83" s="86"/>
      <c r="AU83" s="86" t="str">
        <f>IFERROR(AU39/AT39-1,"")</f>
        <v/>
      </c>
      <c r="AV83" s="86"/>
      <c r="AW83" s="86">
        <f>IFERROR(AW39/AV39-1,"")</f>
        <v>-9.9101498849016756E-2</v>
      </c>
      <c r="AX83" s="86"/>
      <c r="AY83" s="86">
        <f>IFERROR(AY39/AX39-1,"")</f>
        <v>0.15046441347618678</v>
      </c>
      <c r="AZ83" s="86"/>
      <c r="BA83" s="86">
        <f>IFERROR(BA39/AZ39-1,"")</f>
        <v>0.3856381519427905</v>
      </c>
      <c r="BB83" s="86"/>
      <c r="BC83" s="86">
        <f>IFERROR(BC39/BB39-1,"")</f>
        <v>7.8070340719707865E-2</v>
      </c>
      <c r="BD83" s="86"/>
      <c r="BE83" s="86">
        <f>IFERROR(BE39/BD39-1,"")</f>
        <v>0.72140212511880741</v>
      </c>
      <c r="BF83" s="86"/>
      <c r="BG83" s="86">
        <f>IFERROR(BG39/BF39-1,"")</f>
        <v>3.1360456428013377</v>
      </c>
      <c r="BH83" s="86"/>
      <c r="BI83" s="86">
        <f>IFERROR(BI39/BH39-1,"")</f>
        <v>0.14888382366220365</v>
      </c>
      <c r="BJ83" s="86"/>
      <c r="BK83" s="86"/>
      <c r="BL83" s="86"/>
      <c r="BM83" s="86"/>
      <c r="BN83" s="86"/>
      <c r="BO83" s="86"/>
      <c r="BP83" s="86"/>
      <c r="BQ83" s="86"/>
      <c r="BR83" s="86"/>
      <c r="BS83" s="86"/>
      <c r="BT83" s="86"/>
      <c r="BU83" s="86"/>
      <c r="BV83" s="86"/>
      <c r="BW83" s="86">
        <f>IFERROR(BW39/BV39-1,"")</f>
        <v>0.2600410186081612</v>
      </c>
    </row>
    <row r="84" spans="1:75" x14ac:dyDescent="0.2">
      <c r="A84" s="96" t="s">
        <v>64</v>
      </c>
      <c r="B84" s="86"/>
      <c r="C84" s="86">
        <f>IFERROR(C40/B40-1,"")</f>
        <v>1.7622084542107395</v>
      </c>
      <c r="D84" s="86"/>
      <c r="E84" s="86">
        <f>IFERROR(E40/D40-1,"")</f>
        <v>6.4344340495680132</v>
      </c>
      <c r="F84" s="86"/>
      <c r="G84" s="86" t="str">
        <f>IFERROR(G40/F40-1,"")</f>
        <v/>
      </c>
      <c r="H84" s="86"/>
      <c r="I84" s="86">
        <f>IFERROR(I40/H40-1,"")</f>
        <v>0.54891497314658033</v>
      </c>
      <c r="J84" s="86"/>
      <c r="K84" s="86">
        <f>IFERROR(K40/J40-1,"")</f>
        <v>0.60732644784286682</v>
      </c>
      <c r="L84" s="86"/>
      <c r="M84" s="86">
        <f>IFERROR(M40/L40-1,"")</f>
        <v>8.1667760644354992E-2</v>
      </c>
      <c r="N84" s="86"/>
      <c r="O84" s="86">
        <f>IFERROR(O40/N40-1,"")</f>
        <v>-0.36514536731465941</v>
      </c>
      <c r="P84" s="86"/>
      <c r="Q84" s="86">
        <f>IFERROR(Q40/P40-1,"")</f>
        <v>-9.3286243488052922E-2</v>
      </c>
      <c r="R84" s="86"/>
      <c r="S84" s="86">
        <f>IFERROR(S40/R40-1,"")</f>
        <v>0.15556669371717424</v>
      </c>
      <c r="T84" s="86"/>
      <c r="U84" s="86">
        <f>IFERROR(U40/T40-1,"")</f>
        <v>-0.54824684539621293</v>
      </c>
      <c r="V84" s="86"/>
      <c r="W84" s="86">
        <f>IFERROR(W40/V40-1,"")</f>
        <v>-0.33419365698086467</v>
      </c>
      <c r="X84" s="86"/>
      <c r="Y84" s="86">
        <f>IFERROR(Y40/X40-1,"")</f>
        <v>0.17387460896626128</v>
      </c>
      <c r="Z84" s="86"/>
      <c r="AA84" s="86" t="str">
        <f>IFERROR(AA40/Z40-1,"")</f>
        <v/>
      </c>
      <c r="AB84" s="86"/>
      <c r="AC84" s="86" t="str">
        <f>IFERROR(AC40/AB40-1,"")</f>
        <v/>
      </c>
      <c r="AD84" s="86"/>
      <c r="AE84" s="86">
        <f>IFERROR(AE40/AD40-1,"")</f>
        <v>-1.1709846735271463</v>
      </c>
      <c r="AF84" s="86"/>
      <c r="AG84" s="86">
        <f>IFERROR(AG40/AF40-1,"")</f>
        <v>-1.0383744014686145</v>
      </c>
      <c r="AH84" s="86"/>
      <c r="AI84" s="86">
        <f>IFERROR(AI40/AH40-1,"")</f>
        <v>-0.48971574086605363</v>
      </c>
      <c r="AJ84" s="86"/>
      <c r="AK84" s="86">
        <f>IFERROR(AK40/AJ40-1,"")</f>
        <v>-0.42882951741877695</v>
      </c>
      <c r="AL84" s="86"/>
      <c r="AM84" s="86">
        <f>IFERROR(AM40/AL40-1,"")</f>
        <v>-0.16037047251531678</v>
      </c>
      <c r="AN84" s="86"/>
      <c r="AO84" s="86">
        <f>IFERROR(AO40/AN40-1,"")</f>
        <v>3.4334263205154203E-2</v>
      </c>
      <c r="AP84" s="86"/>
      <c r="AQ84" s="86">
        <f>IFERROR(AQ40/AP40-1,"")</f>
        <v>-1.0785020467633468</v>
      </c>
      <c r="AR84" s="86"/>
      <c r="AS84" s="86">
        <f>IFERROR(AS40/AR40-1,"")</f>
        <v>1.3729808788106594</v>
      </c>
      <c r="AT84" s="86"/>
      <c r="AU84" s="86" t="str">
        <f>IFERROR(AU40/AT40-1,"")</f>
        <v/>
      </c>
      <c r="AV84" s="86"/>
      <c r="AW84" s="86">
        <f>IFERROR(AW40/AV40-1,"")</f>
        <v>-0.62931212304745787</v>
      </c>
      <c r="AX84" s="86"/>
      <c r="AY84" s="86">
        <f>IFERROR(AY40/AX40-1,"")</f>
        <v>-1.5402636585403837</v>
      </c>
      <c r="AZ84" s="86"/>
      <c r="BA84" s="86">
        <f>IFERROR(BA40/AZ40-1,"")</f>
        <v>-4.0319596865324159E-2</v>
      </c>
      <c r="BB84" s="86"/>
      <c r="BC84" s="86">
        <f>IFERROR(BC40/BB40-1,"")</f>
        <v>-0.67201309270760845</v>
      </c>
      <c r="BD84" s="86"/>
      <c r="BE84" s="86">
        <f>IFERROR(BE40/BD40-1,"")</f>
        <v>1.7622084542107395</v>
      </c>
      <c r="BF84" s="86"/>
      <c r="BG84" s="86">
        <f>IFERROR(BG40/BF40-1,"")</f>
        <v>-0.36915798316809068</v>
      </c>
      <c r="BH84" s="86"/>
      <c r="BI84" s="86">
        <f>IFERROR(BI40/BH40-1,"")</f>
        <v>0.11040873945924079</v>
      </c>
      <c r="BJ84" s="86"/>
      <c r="BK84" s="86"/>
      <c r="BL84" s="86"/>
      <c r="BM84" s="86"/>
      <c r="BN84" s="86"/>
      <c r="BO84" s="86"/>
      <c r="BP84" s="86"/>
      <c r="BQ84" s="86"/>
      <c r="BR84" s="86"/>
      <c r="BS84" s="86"/>
      <c r="BT84" s="86"/>
      <c r="BU84" s="86"/>
      <c r="BV84" s="86"/>
      <c r="BW84" s="86">
        <f>IFERROR(BW40/BV40-1,"")</f>
        <v>0.34055152969008429</v>
      </c>
    </row>
    <row r="85" spans="1:75" x14ac:dyDescent="0.2">
      <c r="A85" s="216"/>
      <c r="AD85" s="86"/>
      <c r="AE85" s="86"/>
      <c r="AF85" s="86"/>
      <c r="AG85" s="86"/>
      <c r="AH85" s="86"/>
      <c r="AI85" s="86"/>
      <c r="AJ85" s="86"/>
      <c r="AK85" s="86"/>
      <c r="AL85" s="86"/>
      <c r="AM85" s="86"/>
      <c r="AN85" s="86"/>
      <c r="AO85" s="86"/>
      <c r="AP85" s="86"/>
      <c r="AQ85" s="86"/>
      <c r="AR85" s="86"/>
      <c r="AS85" s="86"/>
      <c r="AT85" s="86"/>
      <c r="AU85" s="86"/>
      <c r="AV85" s="86"/>
      <c r="AW85" s="86"/>
      <c r="AX85" s="294"/>
      <c r="AY85" s="294"/>
      <c r="AZ85" s="86"/>
      <c r="BA85" s="86"/>
      <c r="BB85" s="86"/>
      <c r="BC85" s="86"/>
      <c r="BD85" s="86"/>
      <c r="BE85" s="86"/>
      <c r="BF85" s="86"/>
      <c r="BG85" s="86"/>
      <c r="BH85" s="86"/>
      <c r="BI85" s="86"/>
      <c r="BJ85" s="86"/>
      <c r="BK85" s="86"/>
      <c r="BL85" s="86"/>
      <c r="BM85" s="86"/>
      <c r="BN85" s="86"/>
      <c r="BO85" s="86"/>
      <c r="BP85" s="86"/>
      <c r="BQ85" s="86"/>
      <c r="BR85" s="86"/>
      <c r="BS85" s="86"/>
      <c r="BT85" s="86"/>
      <c r="BU85" s="86"/>
      <c r="BV85" s="209"/>
      <c r="BW85" s="209"/>
    </row>
    <row r="86" spans="1:75" x14ac:dyDescent="0.2">
      <c r="A86" s="216"/>
    </row>
    <row r="87" spans="1:75" x14ac:dyDescent="0.2">
      <c r="A87" s="216"/>
    </row>
    <row r="88" spans="1:75" x14ac:dyDescent="0.2">
      <c r="A88" s="216"/>
    </row>
    <row r="89" spans="1:75" x14ac:dyDescent="0.2">
      <c r="A89" s="216"/>
    </row>
    <row r="90" spans="1:75" x14ac:dyDescent="0.2">
      <c r="A90" s="216"/>
    </row>
    <row r="91" spans="1:75" x14ac:dyDescent="0.2">
      <c r="A91" s="216"/>
    </row>
    <row r="92" spans="1:75" x14ac:dyDescent="0.2">
      <c r="A92" s="216"/>
    </row>
    <row r="93" spans="1:75" x14ac:dyDescent="0.2">
      <c r="A93" s="216"/>
    </row>
    <row r="94" spans="1:75" x14ac:dyDescent="0.2">
      <c r="A94" s="216"/>
    </row>
    <row r="95" spans="1:75" x14ac:dyDescent="0.2">
      <c r="A95" s="216"/>
    </row>
    <row r="96" spans="1:75"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216"/>
    </row>
    <row r="127" spans="1:1" x14ac:dyDescent="0.2">
      <c r="A127" s="216"/>
    </row>
    <row r="128" spans="1:1" x14ac:dyDescent="0.2">
      <c r="A128" s="216"/>
    </row>
    <row r="129" spans="1:73" x14ac:dyDescent="0.2">
      <c r="A129" s="216"/>
    </row>
    <row r="130" spans="1:73" x14ac:dyDescent="0.2">
      <c r="A130" s="216"/>
    </row>
    <row r="131" spans="1:73" x14ac:dyDescent="0.2">
      <c r="A131" s="216"/>
    </row>
    <row r="132" spans="1:73" x14ac:dyDescent="0.2">
      <c r="A132" s="216"/>
    </row>
    <row r="133" spans="1:73" x14ac:dyDescent="0.2">
      <c r="A133" s="216"/>
    </row>
    <row r="134" spans="1:73" x14ac:dyDescent="0.2">
      <c r="A134" s="216"/>
    </row>
    <row r="135" spans="1:73" x14ac:dyDescent="0.2">
      <c r="A135" s="216"/>
    </row>
    <row r="136" spans="1:73" x14ac:dyDescent="0.2">
      <c r="A136" s="216"/>
    </row>
    <row r="137" spans="1:73" x14ac:dyDescent="0.2">
      <c r="A137" s="216"/>
    </row>
    <row r="138" spans="1:73" x14ac:dyDescent="0.2">
      <c r="A138" s="216"/>
    </row>
    <row r="139" spans="1:73" x14ac:dyDescent="0.2">
      <c r="A139" s="216"/>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row>
    <row r="140" spans="1:73" x14ac:dyDescent="0.2">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N140" s="245"/>
      <c r="BO140" s="245"/>
      <c r="BP140" s="245"/>
      <c r="BQ140" s="245"/>
      <c r="BR140" s="245"/>
      <c r="BS140" s="245"/>
      <c r="BT140" s="245"/>
      <c r="BU140" s="245"/>
    </row>
    <row r="141" spans="1:73" x14ac:dyDescent="0.2">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row>
    <row r="143" spans="1:73" x14ac:dyDescent="0.2">
      <c r="A143" s="244"/>
    </row>
    <row r="144" spans="1:73" x14ac:dyDescent="0.2">
      <c r="A144" s="216"/>
    </row>
    <row r="145" spans="1:73" x14ac:dyDescent="0.2">
      <c r="A145" s="216"/>
    </row>
    <row r="146" spans="1:73" x14ac:dyDescent="0.2">
      <c r="A146" s="216"/>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N146" s="245"/>
      <c r="BO146" s="245"/>
      <c r="BP146" s="245"/>
      <c r="BQ146" s="245"/>
      <c r="BR146" s="245"/>
      <c r="BS146" s="245"/>
      <c r="BT146" s="245"/>
      <c r="BU146" s="245"/>
    </row>
    <row r="147" spans="1:73" x14ac:dyDescent="0.2">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row>
    <row r="149" spans="1:73" x14ac:dyDescent="0.2">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N149" s="245"/>
      <c r="BO149" s="245"/>
      <c r="BP149" s="245"/>
      <c r="BQ149" s="245"/>
      <c r="BR149" s="245"/>
      <c r="BS149" s="245"/>
      <c r="BT149" s="245"/>
      <c r="BU149" s="245"/>
    </row>
    <row r="150" spans="1:73" x14ac:dyDescent="0.2">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row>
    <row r="152" spans="1:73" x14ac:dyDescent="0.2">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N152" s="245"/>
      <c r="BO152" s="245"/>
      <c r="BP152" s="245"/>
      <c r="BQ152" s="245"/>
      <c r="BR152" s="245"/>
      <c r="BS152" s="245"/>
      <c r="BT152" s="245"/>
      <c r="BU152" s="245"/>
    </row>
    <row r="153" spans="1:73" x14ac:dyDescent="0.2">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c r="AC153" s="245"/>
    </row>
    <row r="154" spans="1:73" x14ac:dyDescent="0.2">
      <c r="AD154" s="245"/>
      <c r="AE154" s="245"/>
      <c r="AF154" s="245"/>
      <c r="AG154" s="245"/>
      <c r="AH154" s="245"/>
      <c r="AI154" s="245"/>
      <c r="AJ154" s="245"/>
      <c r="AK154" s="245"/>
      <c r="AL154" s="245"/>
      <c r="AM154" s="245"/>
      <c r="AN154" s="245"/>
      <c r="AO154" s="245"/>
      <c r="AP154" s="245"/>
      <c r="AQ154" s="245"/>
      <c r="AR154" s="245"/>
      <c r="AS154" s="245"/>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N154" s="245"/>
      <c r="BO154" s="245"/>
      <c r="BP154" s="245"/>
      <c r="BQ154" s="245"/>
      <c r="BR154" s="245"/>
      <c r="BS154" s="245"/>
      <c r="BT154" s="245"/>
      <c r="BU154" s="245"/>
    </row>
    <row r="155" spans="1:73" x14ac:dyDescent="0.2">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c r="AA155" s="245"/>
      <c r="AB155" s="245"/>
      <c r="AC155" s="245"/>
    </row>
    <row r="159" spans="1:73" x14ac:dyDescent="0.2">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8"/>
      <c r="BL159" s="228"/>
      <c r="BM159" s="228"/>
      <c r="BN159" s="228"/>
      <c r="BO159" s="228"/>
      <c r="BP159" s="228"/>
      <c r="BQ159" s="228"/>
      <c r="BR159" s="228"/>
      <c r="BS159" s="228"/>
      <c r="BT159" s="228"/>
      <c r="BU159" s="228"/>
    </row>
    <row r="160" spans="1:73" x14ac:dyDescent="0.2">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c r="AA160" s="228"/>
      <c r="AB160" s="228"/>
      <c r="AC160" s="228"/>
    </row>
    <row r="168" spans="1:75" x14ac:dyDescent="0.2">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row>
    <row r="169" spans="1:75" s="216" customFormat="1" x14ac:dyDescent="0.2">
      <c r="A169" s="214"/>
    </row>
    <row r="170" spans="1:75" s="216" customFormat="1" x14ac:dyDescent="0.2"/>
    <row r="171" spans="1:75" s="216" customFormat="1" x14ac:dyDescent="0.2">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row>
    <row r="175" spans="1:75" x14ac:dyDescent="0.2">
      <c r="AD175" s="245"/>
      <c r="AE175" s="245"/>
      <c r="AF175" s="245"/>
      <c r="AG175" s="245"/>
      <c r="AH175" s="245"/>
      <c r="AI175" s="245"/>
      <c r="AJ175" s="245"/>
      <c r="AK175" s="245"/>
      <c r="AL175" s="245"/>
      <c r="AM175" s="245"/>
      <c r="AN175" s="245"/>
      <c r="AO175" s="245"/>
      <c r="AP175" s="245"/>
      <c r="AQ175" s="245"/>
      <c r="AR175" s="245"/>
      <c r="AS175" s="245"/>
      <c r="AT175" s="245"/>
      <c r="AU175" s="245"/>
      <c r="AV175" s="245"/>
      <c r="AW175" s="245"/>
      <c r="AX175" s="245"/>
      <c r="AY175" s="245"/>
      <c r="AZ175" s="245"/>
      <c r="BA175" s="245"/>
      <c r="BB175" s="245"/>
      <c r="BC175" s="245"/>
      <c r="BD175" s="245"/>
      <c r="BE175" s="245"/>
      <c r="BF175" s="245"/>
      <c r="BG175" s="245"/>
      <c r="BH175" s="245"/>
      <c r="BI175" s="245"/>
      <c r="BJ175" s="245"/>
      <c r="BK175" s="245"/>
      <c r="BL175" s="245"/>
      <c r="BM175" s="245"/>
      <c r="BN175" s="245"/>
      <c r="BO175" s="245"/>
      <c r="BP175" s="245"/>
      <c r="BQ175" s="245"/>
      <c r="BR175" s="245"/>
      <c r="BS175" s="245"/>
      <c r="BT175" s="245"/>
      <c r="BU175" s="245"/>
    </row>
    <row r="176" spans="1:75" x14ac:dyDescent="0.2">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row>
    <row r="180" spans="2:73" x14ac:dyDescent="0.2">
      <c r="AD180" s="245"/>
      <c r="AE180" s="245"/>
      <c r="AF180" s="245"/>
      <c r="AG180" s="245"/>
      <c r="AH180" s="245"/>
      <c r="AI180" s="245"/>
      <c r="AJ180" s="245"/>
      <c r="AK180" s="245"/>
      <c r="AL180" s="245"/>
      <c r="AM180" s="245"/>
      <c r="AN180" s="245"/>
      <c r="AO180" s="245"/>
      <c r="AP180" s="245"/>
      <c r="AQ180" s="245"/>
      <c r="AR180" s="245"/>
      <c r="AS180" s="245"/>
      <c r="AT180" s="245"/>
      <c r="AU180" s="245"/>
      <c r="AV180" s="245"/>
      <c r="AW180" s="245"/>
      <c r="AX180" s="245"/>
      <c r="AY180" s="245"/>
      <c r="AZ180" s="245"/>
      <c r="BA180" s="245"/>
      <c r="BB180" s="245"/>
      <c r="BC180" s="245"/>
      <c r="BD180" s="245"/>
      <c r="BE180" s="245"/>
      <c r="BF180" s="245"/>
      <c r="BG180" s="245"/>
      <c r="BH180" s="245"/>
      <c r="BI180" s="245"/>
      <c r="BJ180" s="245"/>
      <c r="BK180" s="245"/>
      <c r="BL180" s="245"/>
      <c r="BM180" s="245"/>
      <c r="BN180" s="245"/>
      <c r="BO180" s="245"/>
      <c r="BP180" s="245"/>
      <c r="BQ180" s="245"/>
      <c r="BR180" s="245"/>
      <c r="BS180" s="245"/>
      <c r="BT180" s="245"/>
      <c r="BU180" s="245"/>
    </row>
    <row r="181" spans="2:73" x14ac:dyDescent="0.2">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row>
    <row r="185" spans="2:73" x14ac:dyDescent="0.2">
      <c r="AD185" s="245"/>
      <c r="AE185" s="245"/>
      <c r="AF185" s="245"/>
      <c r="AG185" s="245"/>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row>
    <row r="186" spans="2:73" x14ac:dyDescent="0.2">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c r="BQ186" s="245"/>
      <c r="BR186" s="245"/>
      <c r="BS186" s="245"/>
      <c r="BT186" s="245"/>
      <c r="BU186" s="245"/>
    </row>
    <row r="187" spans="2:73" x14ac:dyDescent="0.2">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row>
    <row r="190" spans="2:73" x14ac:dyDescent="0.2">
      <c r="AD190" s="245"/>
      <c r="AE190" s="245"/>
      <c r="AF190" s="245"/>
      <c r="AG190" s="245"/>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row>
    <row r="191" spans="2:73" x14ac:dyDescent="0.2">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c r="AA191" s="245"/>
      <c r="AB191" s="245"/>
      <c r="AC191" s="245"/>
    </row>
    <row r="196" spans="2:73" x14ac:dyDescent="0.2">
      <c r="AD196" s="228"/>
      <c r="AE196" s="216"/>
      <c r="AF196" s="228"/>
      <c r="AG196" s="216"/>
      <c r="AH196" s="228"/>
      <c r="AI196" s="216"/>
      <c r="AJ196" s="228"/>
      <c r="AK196" s="216"/>
      <c r="AL196" s="216"/>
      <c r="AM196" s="216"/>
      <c r="AN196" s="216"/>
      <c r="AO196" s="216"/>
      <c r="AP196" s="216"/>
      <c r="AQ196" s="216"/>
      <c r="AR196" s="216"/>
      <c r="AS196" s="216"/>
      <c r="AT196" s="216"/>
      <c r="AU196" s="216"/>
      <c r="AV196" s="216"/>
      <c r="AW196" s="216"/>
      <c r="AX196" s="216"/>
      <c r="AY196" s="216"/>
      <c r="AZ196" s="228"/>
      <c r="BA196" s="216"/>
      <c r="BB196" s="216"/>
      <c r="BC196" s="216"/>
      <c r="BD196" s="216"/>
      <c r="BE196" s="216"/>
      <c r="BF196" s="216"/>
      <c r="BG196" s="216"/>
      <c r="BH196" s="216"/>
      <c r="BI196" s="216"/>
      <c r="BJ196" s="216"/>
      <c r="BK196" s="216"/>
      <c r="BL196" s="216"/>
      <c r="BM196" s="216"/>
      <c r="BN196" s="216"/>
      <c r="BO196" s="216"/>
      <c r="BP196" s="216"/>
      <c r="BQ196" s="216"/>
      <c r="BR196" s="216"/>
      <c r="BS196" s="216"/>
      <c r="BT196" s="216"/>
      <c r="BU196" s="216"/>
    </row>
    <row r="197" spans="2:73" x14ac:dyDescent="0.2">
      <c r="B197" s="228"/>
      <c r="C197" s="216"/>
      <c r="D197" s="228"/>
      <c r="E197" s="216"/>
      <c r="F197" s="228"/>
      <c r="G197" s="216"/>
      <c r="H197" s="228"/>
      <c r="I197" s="216"/>
      <c r="J197" s="228"/>
      <c r="K197" s="216"/>
      <c r="L197" s="228"/>
      <c r="M197" s="216"/>
      <c r="N197" s="228"/>
      <c r="O197" s="216"/>
      <c r="P197" s="228"/>
      <c r="Q197" s="216"/>
      <c r="R197" s="228"/>
      <c r="S197" s="216"/>
      <c r="T197" s="228"/>
      <c r="U197" s="216"/>
      <c r="V197" s="228"/>
      <c r="W197" s="216"/>
      <c r="X197" s="216"/>
      <c r="Y197" s="216"/>
      <c r="Z197" s="216"/>
      <c r="AA197" s="216"/>
      <c r="AB197" s="216"/>
      <c r="AC197" s="216"/>
      <c r="AD197" s="228"/>
      <c r="AE197" s="216"/>
      <c r="AF197" s="228"/>
      <c r="AG197" s="216"/>
      <c r="AH197" s="228"/>
      <c r="AI197" s="216"/>
      <c r="AJ197" s="228"/>
      <c r="AK197" s="216"/>
      <c r="AL197" s="216"/>
      <c r="AM197" s="216"/>
      <c r="AN197" s="216"/>
      <c r="AO197" s="216"/>
      <c r="AP197" s="216"/>
      <c r="AQ197" s="216"/>
      <c r="AR197" s="216"/>
      <c r="AS197" s="216"/>
      <c r="AT197" s="216"/>
      <c r="AU197" s="216"/>
      <c r="AV197" s="216"/>
      <c r="AW197" s="216"/>
      <c r="AX197" s="216"/>
      <c r="AY197" s="216"/>
      <c r="AZ197" s="228"/>
      <c r="BA197" s="216"/>
      <c r="BB197" s="216"/>
      <c r="BC197" s="216"/>
      <c r="BD197" s="216"/>
      <c r="BE197" s="216"/>
      <c r="BF197" s="216"/>
      <c r="BG197" s="216"/>
      <c r="BH197" s="216"/>
      <c r="BI197" s="216"/>
      <c r="BJ197" s="216"/>
      <c r="BK197" s="216"/>
      <c r="BL197" s="216"/>
      <c r="BM197" s="216"/>
      <c r="BN197" s="216"/>
      <c r="BO197" s="216"/>
      <c r="BP197" s="216"/>
      <c r="BQ197" s="216"/>
      <c r="BR197" s="216"/>
      <c r="BS197" s="216"/>
      <c r="BT197" s="216"/>
      <c r="BU197" s="216"/>
    </row>
    <row r="198" spans="2:73" x14ac:dyDescent="0.2">
      <c r="B198" s="228"/>
      <c r="C198" s="216"/>
      <c r="D198" s="228"/>
      <c r="E198" s="216"/>
      <c r="F198" s="228"/>
      <c r="G198" s="216"/>
      <c r="H198" s="228"/>
      <c r="I198" s="216"/>
      <c r="J198" s="228"/>
      <c r="K198" s="216"/>
      <c r="L198" s="228"/>
      <c r="M198" s="216"/>
      <c r="N198" s="228"/>
      <c r="O198" s="216"/>
      <c r="P198" s="228"/>
      <c r="Q198" s="216"/>
      <c r="R198" s="228"/>
      <c r="S198" s="216"/>
      <c r="T198" s="228"/>
      <c r="U198" s="216"/>
      <c r="V198" s="228"/>
      <c r="W198" s="216"/>
      <c r="X198" s="216"/>
      <c r="Y198" s="216"/>
      <c r="Z198" s="216"/>
      <c r="AA198" s="216"/>
      <c r="AB198" s="216"/>
      <c r="AC198" s="216"/>
      <c r="AD198" s="246"/>
      <c r="AE198" s="245"/>
      <c r="AF198" s="246"/>
      <c r="AG198" s="245"/>
      <c r="AH198" s="246"/>
      <c r="AI198" s="245"/>
      <c r="AJ198" s="246"/>
      <c r="AK198" s="245"/>
      <c r="AL198" s="245"/>
      <c r="AM198" s="245"/>
      <c r="AN198" s="245"/>
      <c r="AO198" s="245"/>
      <c r="AP198" s="245"/>
      <c r="AQ198" s="245"/>
      <c r="AR198" s="245"/>
      <c r="AS198" s="245"/>
      <c r="AT198" s="245"/>
      <c r="AU198" s="245"/>
      <c r="AV198" s="245"/>
      <c r="AW198" s="245"/>
      <c r="AX198" s="245"/>
      <c r="AY198" s="245"/>
      <c r="AZ198" s="246"/>
      <c r="BA198" s="245"/>
      <c r="BB198" s="245"/>
      <c r="BC198" s="245"/>
      <c r="BD198" s="245"/>
      <c r="BE198" s="245"/>
      <c r="BF198" s="245"/>
      <c r="BG198" s="245"/>
      <c r="BH198" s="245"/>
      <c r="BI198" s="245"/>
      <c r="BJ198" s="245"/>
      <c r="BK198" s="245"/>
      <c r="BL198" s="245"/>
      <c r="BM198" s="245"/>
      <c r="BN198" s="245"/>
      <c r="BO198" s="245"/>
      <c r="BP198" s="245"/>
      <c r="BQ198" s="245"/>
      <c r="BR198" s="245"/>
      <c r="BS198" s="245"/>
      <c r="BT198" s="245"/>
      <c r="BU198" s="245"/>
    </row>
    <row r="199" spans="2:73" x14ac:dyDescent="0.2">
      <c r="B199" s="246"/>
      <c r="C199" s="245"/>
      <c r="D199" s="246"/>
      <c r="E199" s="245"/>
      <c r="F199" s="246"/>
      <c r="G199" s="245"/>
      <c r="H199" s="246"/>
      <c r="I199" s="245"/>
      <c r="J199" s="246"/>
      <c r="K199" s="245"/>
      <c r="L199" s="246"/>
      <c r="M199" s="245"/>
      <c r="N199" s="246"/>
      <c r="O199" s="245"/>
      <c r="P199" s="246"/>
      <c r="Q199" s="245"/>
      <c r="R199" s="246"/>
      <c r="S199" s="245"/>
      <c r="T199" s="246"/>
      <c r="U199" s="245"/>
      <c r="V199" s="246"/>
      <c r="W199" s="245"/>
      <c r="X199" s="245"/>
      <c r="Y199" s="245"/>
      <c r="Z199" s="245"/>
      <c r="AA199" s="245"/>
      <c r="AB199" s="245"/>
      <c r="AC199" s="245"/>
      <c r="AD199" s="246"/>
      <c r="AE199" s="245"/>
      <c r="AF199" s="246"/>
      <c r="AG199" s="245"/>
      <c r="AH199" s="246"/>
      <c r="AI199" s="245"/>
      <c r="AJ199" s="246"/>
      <c r="AK199" s="245"/>
      <c r="AL199" s="245"/>
      <c r="AM199" s="245"/>
      <c r="AN199" s="245"/>
      <c r="AO199" s="245"/>
      <c r="AP199" s="245"/>
      <c r="AQ199" s="245"/>
      <c r="AR199" s="245"/>
      <c r="AS199" s="245"/>
      <c r="AT199" s="245"/>
      <c r="AU199" s="245"/>
      <c r="AV199" s="245"/>
      <c r="AW199" s="245"/>
      <c r="AX199" s="245"/>
      <c r="AY199" s="245"/>
      <c r="AZ199" s="246"/>
      <c r="BA199" s="245"/>
      <c r="BB199" s="245"/>
      <c r="BC199" s="245"/>
      <c r="BD199" s="245"/>
      <c r="BE199" s="245"/>
      <c r="BF199" s="245"/>
      <c r="BG199" s="245"/>
      <c r="BH199" s="245"/>
      <c r="BI199" s="245"/>
      <c r="BJ199" s="245"/>
      <c r="BK199" s="245"/>
      <c r="BL199" s="245"/>
      <c r="BM199" s="245"/>
      <c r="BN199" s="245"/>
      <c r="BO199" s="245"/>
      <c r="BP199" s="245"/>
      <c r="BQ199" s="245"/>
      <c r="BR199" s="245"/>
      <c r="BS199" s="245"/>
      <c r="BT199" s="245"/>
      <c r="BU199" s="245"/>
    </row>
    <row r="200" spans="2:73" x14ac:dyDescent="0.2">
      <c r="B200" s="246"/>
      <c r="C200" s="245"/>
      <c r="D200" s="246"/>
      <c r="E200" s="245"/>
      <c r="F200" s="246"/>
      <c r="G200" s="245"/>
      <c r="H200" s="246"/>
      <c r="I200" s="245"/>
      <c r="J200" s="246"/>
      <c r="K200" s="245"/>
      <c r="L200" s="246"/>
      <c r="M200" s="245"/>
      <c r="N200" s="246"/>
      <c r="O200" s="245"/>
      <c r="P200" s="246"/>
      <c r="Q200" s="245"/>
      <c r="R200" s="246"/>
      <c r="S200" s="245"/>
      <c r="T200" s="246"/>
      <c r="U200" s="245"/>
      <c r="V200" s="246"/>
      <c r="W200" s="245"/>
      <c r="X200" s="245"/>
      <c r="Y200" s="245"/>
      <c r="Z200" s="245"/>
      <c r="AA200" s="245"/>
      <c r="AB200" s="245"/>
      <c r="AC200" s="245"/>
      <c r="AD200" s="246"/>
      <c r="AE200" s="245"/>
      <c r="AF200" s="246"/>
      <c r="AG200" s="245"/>
      <c r="AH200" s="246"/>
      <c r="AI200" s="245"/>
      <c r="AJ200" s="246"/>
      <c r="AK200" s="245"/>
      <c r="AL200" s="245"/>
      <c r="AM200" s="245"/>
      <c r="AN200" s="245"/>
      <c r="AO200" s="245"/>
      <c r="AP200" s="245"/>
      <c r="AQ200" s="245"/>
      <c r="AR200" s="245"/>
      <c r="AS200" s="245"/>
      <c r="AT200" s="245"/>
      <c r="AU200" s="245"/>
      <c r="AV200" s="245"/>
      <c r="AW200" s="245"/>
      <c r="AX200" s="245"/>
      <c r="AY200" s="245"/>
      <c r="AZ200" s="246"/>
      <c r="BA200" s="245"/>
      <c r="BB200" s="245"/>
      <c r="BC200" s="245"/>
      <c r="BD200" s="245"/>
      <c r="BE200" s="245"/>
      <c r="BF200" s="245"/>
      <c r="BG200" s="245"/>
      <c r="BH200" s="245"/>
      <c r="BI200" s="245"/>
      <c r="BJ200" s="245"/>
      <c r="BK200" s="245"/>
      <c r="BL200" s="245"/>
      <c r="BM200" s="245"/>
      <c r="BN200" s="245"/>
      <c r="BO200" s="245"/>
      <c r="BP200" s="245"/>
      <c r="BQ200" s="245"/>
      <c r="BR200" s="245"/>
      <c r="BS200" s="245"/>
      <c r="BT200" s="245"/>
      <c r="BU200" s="245"/>
    </row>
    <row r="201" spans="2:73" x14ac:dyDescent="0.2">
      <c r="B201" s="246"/>
      <c r="C201" s="245"/>
      <c r="D201" s="246"/>
      <c r="E201" s="245"/>
      <c r="F201" s="246"/>
      <c r="G201" s="245"/>
      <c r="H201" s="246"/>
      <c r="I201" s="245"/>
      <c r="J201" s="246"/>
      <c r="K201" s="245"/>
      <c r="L201" s="246"/>
      <c r="M201" s="245"/>
      <c r="N201" s="246"/>
      <c r="O201" s="245"/>
      <c r="P201" s="246"/>
      <c r="Q201" s="245"/>
      <c r="R201" s="246"/>
      <c r="S201" s="245"/>
      <c r="T201" s="246"/>
      <c r="U201" s="245"/>
      <c r="V201" s="246"/>
      <c r="W201" s="245"/>
      <c r="X201" s="245"/>
      <c r="Y201" s="245"/>
      <c r="Z201" s="245"/>
      <c r="AA201" s="245"/>
      <c r="AB201" s="245"/>
      <c r="AC201" s="245"/>
      <c r="AD201" s="246"/>
      <c r="AE201" s="245"/>
      <c r="AF201" s="246"/>
      <c r="AG201" s="245"/>
      <c r="AH201" s="246"/>
      <c r="AI201" s="245"/>
      <c r="AJ201" s="246"/>
      <c r="AK201" s="245"/>
      <c r="AL201" s="245"/>
      <c r="AM201" s="245"/>
      <c r="AN201" s="245"/>
      <c r="AO201" s="245"/>
      <c r="AP201" s="245"/>
      <c r="AQ201" s="245"/>
      <c r="AR201" s="245"/>
      <c r="AS201" s="245"/>
      <c r="AT201" s="245"/>
      <c r="AU201" s="245"/>
      <c r="AV201" s="245"/>
      <c r="AW201" s="245"/>
      <c r="AX201" s="245"/>
      <c r="AY201" s="245"/>
      <c r="AZ201" s="246"/>
      <c r="BA201" s="245"/>
      <c r="BB201" s="245"/>
      <c r="BC201" s="245"/>
      <c r="BD201" s="245"/>
      <c r="BE201" s="245"/>
      <c r="BF201" s="245"/>
      <c r="BG201" s="245"/>
      <c r="BH201" s="245"/>
      <c r="BI201" s="245"/>
      <c r="BJ201" s="245"/>
      <c r="BK201" s="245"/>
      <c r="BL201" s="245"/>
      <c r="BM201" s="245"/>
      <c r="BN201" s="245"/>
      <c r="BO201" s="245"/>
      <c r="BP201" s="245"/>
      <c r="BQ201" s="245"/>
      <c r="BR201" s="245"/>
      <c r="BS201" s="245"/>
      <c r="BT201" s="245"/>
      <c r="BU201" s="245"/>
    </row>
    <row r="202" spans="2:73" x14ac:dyDescent="0.2">
      <c r="B202" s="246"/>
      <c r="C202" s="245"/>
      <c r="D202" s="246"/>
      <c r="E202" s="245"/>
      <c r="F202" s="246"/>
      <c r="G202" s="245"/>
      <c r="H202" s="246"/>
      <c r="I202" s="245"/>
      <c r="J202" s="246"/>
      <c r="K202" s="245"/>
      <c r="L202" s="246"/>
      <c r="M202" s="245"/>
      <c r="N202" s="246"/>
      <c r="O202" s="245"/>
      <c r="P202" s="246"/>
      <c r="Q202" s="245"/>
      <c r="R202" s="246"/>
      <c r="S202" s="245"/>
      <c r="T202" s="246"/>
      <c r="U202" s="245"/>
      <c r="V202" s="246"/>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row>
    <row r="203" spans="2:73" x14ac:dyDescent="0.2">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row>
    <row r="204" spans="2:73" x14ac:dyDescent="0.2">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c r="BJ204" s="245"/>
      <c r="BK204" s="245"/>
      <c r="BL204" s="245"/>
      <c r="BM204" s="245"/>
      <c r="BN204" s="245"/>
      <c r="BO204" s="245"/>
      <c r="BP204" s="245"/>
      <c r="BQ204" s="245"/>
      <c r="BR204" s="245"/>
      <c r="BS204" s="245"/>
      <c r="BT204" s="245"/>
      <c r="BU204" s="245"/>
    </row>
    <row r="205" spans="2:73" x14ac:dyDescent="0.2">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45"/>
      <c r="AW205" s="245"/>
      <c r="AX205" s="245"/>
      <c r="AY205" s="245"/>
      <c r="AZ205" s="245"/>
      <c r="BA205" s="245"/>
      <c r="BB205" s="245"/>
      <c r="BC205" s="245"/>
      <c r="BD205" s="245"/>
      <c r="BE205" s="245"/>
      <c r="BF205" s="245"/>
      <c r="BG205" s="245"/>
      <c r="BH205" s="245"/>
      <c r="BI205" s="245"/>
      <c r="BJ205" s="245"/>
      <c r="BK205" s="245"/>
      <c r="BL205" s="245"/>
      <c r="BM205" s="245"/>
      <c r="BN205" s="245"/>
      <c r="BO205" s="245"/>
      <c r="BP205" s="245"/>
      <c r="BQ205" s="245"/>
      <c r="BR205" s="245"/>
      <c r="BS205" s="245"/>
      <c r="BT205" s="245"/>
      <c r="BU205" s="245"/>
    </row>
    <row r="206" spans="2:73" x14ac:dyDescent="0.2">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45"/>
      <c r="AW206" s="245"/>
      <c r="AX206" s="245"/>
      <c r="AY206" s="245"/>
      <c r="AZ206" s="245"/>
      <c r="BA206" s="245"/>
      <c r="BB206" s="245"/>
      <c r="BC206" s="245"/>
      <c r="BD206" s="245"/>
      <c r="BE206" s="245"/>
      <c r="BF206" s="245"/>
      <c r="BG206" s="245"/>
      <c r="BH206" s="245"/>
      <c r="BI206" s="245"/>
      <c r="BJ206" s="245"/>
      <c r="BK206" s="245"/>
      <c r="BL206" s="245"/>
      <c r="BM206" s="245"/>
      <c r="BN206" s="245"/>
      <c r="BO206" s="245"/>
      <c r="BP206" s="245"/>
      <c r="BQ206" s="245"/>
      <c r="BR206" s="245"/>
      <c r="BS206" s="245"/>
      <c r="BT206" s="245"/>
      <c r="BU206" s="245"/>
    </row>
    <row r="207" spans="2:73" x14ac:dyDescent="0.2">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45"/>
      <c r="BU207" s="245"/>
    </row>
    <row r="208" spans="2:73" x14ac:dyDescent="0.2">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c r="AV208" s="245"/>
      <c r="AW208" s="245"/>
      <c r="AX208" s="245"/>
      <c r="AY208" s="245"/>
      <c r="AZ208" s="245"/>
      <c r="BA208" s="245"/>
      <c r="BB208" s="245"/>
      <c r="BC208" s="245"/>
      <c r="BD208" s="245"/>
      <c r="BE208" s="245"/>
      <c r="BF208" s="245"/>
      <c r="BG208" s="245"/>
      <c r="BH208" s="245"/>
      <c r="BI208" s="245"/>
      <c r="BJ208" s="245"/>
      <c r="BK208" s="245"/>
      <c r="BL208" s="245"/>
      <c r="BM208" s="245"/>
      <c r="BN208" s="245"/>
      <c r="BO208" s="245"/>
      <c r="BP208" s="245"/>
      <c r="BQ208" s="245"/>
      <c r="BR208" s="245"/>
      <c r="BS208" s="245"/>
      <c r="BT208" s="245"/>
      <c r="BU208" s="245"/>
    </row>
    <row r="209" spans="2:73" x14ac:dyDescent="0.2">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45"/>
      <c r="AW209" s="245"/>
      <c r="AX209" s="245"/>
      <c r="AY209" s="245"/>
      <c r="AZ209" s="245"/>
      <c r="BA209" s="245"/>
      <c r="BB209" s="245"/>
      <c r="BC209" s="245"/>
      <c r="BD209" s="245"/>
      <c r="BE209" s="245"/>
      <c r="BF209" s="245"/>
      <c r="BG209" s="245"/>
      <c r="BH209" s="245"/>
      <c r="BI209" s="245"/>
      <c r="BJ209" s="245"/>
      <c r="BK209" s="245"/>
      <c r="BL209" s="245"/>
      <c r="BM209" s="245"/>
      <c r="BN209" s="245"/>
      <c r="BO209" s="245"/>
      <c r="BP209" s="245"/>
      <c r="BQ209" s="245"/>
      <c r="BR209" s="245"/>
      <c r="BS209" s="245"/>
      <c r="BT209" s="245"/>
      <c r="BU209" s="245"/>
    </row>
    <row r="210" spans="2:73" x14ac:dyDescent="0.2">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row>
    <row r="211" spans="2:73" x14ac:dyDescent="0.2">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45"/>
      <c r="AW211" s="245"/>
      <c r="AX211" s="245"/>
      <c r="AY211" s="245"/>
      <c r="AZ211" s="245"/>
      <c r="BA211" s="245"/>
      <c r="BB211" s="245"/>
      <c r="BC211" s="245"/>
      <c r="BD211" s="245"/>
      <c r="BE211" s="245"/>
      <c r="BF211" s="245"/>
      <c r="BG211" s="245"/>
      <c r="BH211" s="245"/>
      <c r="BI211" s="245"/>
      <c r="BJ211" s="245"/>
      <c r="BK211" s="245"/>
      <c r="BL211" s="245"/>
      <c r="BM211" s="245"/>
      <c r="BN211" s="245"/>
      <c r="BO211" s="245"/>
      <c r="BP211" s="245"/>
      <c r="BQ211" s="245"/>
      <c r="BR211" s="245"/>
      <c r="BS211" s="245"/>
      <c r="BT211" s="245"/>
      <c r="BU211" s="245"/>
    </row>
    <row r="212" spans="2:73" x14ac:dyDescent="0.2">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45"/>
      <c r="AW212" s="245"/>
      <c r="AX212" s="245"/>
      <c r="AY212" s="245"/>
      <c r="AZ212" s="245"/>
      <c r="BA212" s="245"/>
      <c r="BB212" s="245"/>
      <c r="BC212" s="245"/>
      <c r="BD212" s="245"/>
      <c r="BE212" s="245"/>
      <c r="BF212" s="245"/>
      <c r="BG212" s="245"/>
      <c r="BH212" s="245"/>
      <c r="BI212" s="245"/>
      <c r="BJ212" s="245"/>
      <c r="BK212" s="245"/>
      <c r="BL212" s="245"/>
      <c r="BM212" s="245"/>
      <c r="BN212" s="245"/>
      <c r="BO212" s="245"/>
      <c r="BP212" s="245"/>
      <c r="BQ212" s="245"/>
      <c r="BR212" s="245"/>
      <c r="BS212" s="245"/>
      <c r="BT212" s="245"/>
      <c r="BU212" s="245"/>
    </row>
    <row r="213" spans="2:73" x14ac:dyDescent="0.2">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45"/>
      <c r="AW213" s="245"/>
      <c r="AX213" s="245"/>
      <c r="AY213" s="245"/>
      <c r="AZ213" s="245"/>
      <c r="BA213" s="245"/>
      <c r="BB213" s="245"/>
      <c r="BC213" s="245"/>
      <c r="BD213" s="245"/>
      <c r="BE213" s="245"/>
      <c r="BF213" s="245"/>
      <c r="BG213" s="245"/>
      <c r="BH213" s="245"/>
      <c r="BI213" s="245"/>
      <c r="BJ213" s="245"/>
      <c r="BK213" s="245"/>
      <c r="BL213" s="245"/>
      <c r="BM213" s="245"/>
      <c r="BN213" s="245"/>
      <c r="BO213" s="245"/>
      <c r="BP213" s="245"/>
      <c r="BQ213" s="245"/>
      <c r="BR213" s="245"/>
      <c r="BS213" s="245"/>
      <c r="BT213" s="245"/>
      <c r="BU213" s="245"/>
    </row>
    <row r="214" spans="2:73" x14ac:dyDescent="0.2">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row>
    <row r="215" spans="2:73" x14ac:dyDescent="0.2">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row>
    <row r="216" spans="2:73" x14ac:dyDescent="0.2">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row>
    <row r="217" spans="2:73" x14ac:dyDescent="0.2">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45"/>
      <c r="BU217" s="245"/>
    </row>
    <row r="218" spans="2:73" x14ac:dyDescent="0.2">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c r="AV218" s="245"/>
      <c r="AW218" s="245"/>
      <c r="AX218" s="245"/>
      <c r="AY218" s="245"/>
      <c r="AZ218" s="245"/>
      <c r="BA218" s="245"/>
      <c r="BB218" s="245"/>
      <c r="BC218" s="245"/>
      <c r="BD218" s="245"/>
      <c r="BE218" s="245"/>
      <c r="BF218" s="245"/>
      <c r="BG218" s="245"/>
      <c r="BH218" s="245"/>
      <c r="BI218" s="245"/>
      <c r="BJ218" s="245"/>
      <c r="BK218" s="245"/>
      <c r="BL218" s="245"/>
      <c r="BM218" s="245"/>
      <c r="BN218" s="245"/>
      <c r="BO218" s="245"/>
      <c r="BP218" s="245"/>
      <c r="BQ218" s="245"/>
      <c r="BR218" s="245"/>
      <c r="BS218" s="245"/>
      <c r="BT218" s="245"/>
      <c r="BU218" s="245"/>
    </row>
    <row r="219" spans="2:73" x14ac:dyDescent="0.2">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5"/>
      <c r="BC219" s="245"/>
      <c r="BD219" s="245"/>
      <c r="BE219" s="245"/>
      <c r="BF219" s="245"/>
      <c r="BG219" s="245"/>
      <c r="BH219" s="245"/>
      <c r="BI219" s="245"/>
      <c r="BJ219" s="245"/>
      <c r="BK219" s="245"/>
      <c r="BL219" s="245"/>
      <c r="BM219" s="245"/>
      <c r="BN219" s="245"/>
      <c r="BO219" s="245"/>
      <c r="BP219" s="245"/>
      <c r="BQ219" s="245"/>
      <c r="BR219" s="245"/>
      <c r="BS219" s="245"/>
      <c r="BT219" s="245"/>
      <c r="BU219" s="245"/>
    </row>
    <row r="220" spans="2:73" x14ac:dyDescent="0.2">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c r="AV220" s="245"/>
      <c r="AW220" s="245"/>
      <c r="AX220" s="245"/>
      <c r="AY220" s="245"/>
      <c r="AZ220" s="245"/>
      <c r="BA220" s="245"/>
      <c r="BB220" s="245"/>
      <c r="BC220" s="245"/>
      <c r="BD220" s="245"/>
      <c r="BE220" s="245"/>
      <c r="BF220" s="245"/>
      <c r="BG220" s="245"/>
      <c r="BH220" s="245"/>
      <c r="BI220" s="245"/>
      <c r="BJ220" s="245"/>
      <c r="BK220" s="245"/>
      <c r="BL220" s="245"/>
      <c r="BM220" s="245"/>
      <c r="BN220" s="245"/>
      <c r="BO220" s="245"/>
      <c r="BP220" s="245"/>
      <c r="BQ220" s="245"/>
      <c r="BR220" s="245"/>
      <c r="BS220" s="245"/>
      <c r="BT220" s="245"/>
      <c r="BU220" s="245"/>
    </row>
    <row r="221" spans="2:73" x14ac:dyDescent="0.2">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c r="AV221" s="245"/>
      <c r="AW221" s="245"/>
      <c r="AX221" s="245"/>
      <c r="AY221" s="245"/>
      <c r="AZ221" s="245"/>
      <c r="BA221" s="245"/>
      <c r="BB221" s="245"/>
      <c r="BC221" s="245"/>
      <c r="BD221" s="245"/>
      <c r="BE221" s="245"/>
      <c r="BF221" s="245"/>
      <c r="BG221" s="245"/>
      <c r="BH221" s="245"/>
      <c r="BI221" s="245"/>
      <c r="BJ221" s="245"/>
      <c r="BK221" s="245"/>
      <c r="BL221" s="245"/>
      <c r="BM221" s="245"/>
      <c r="BN221" s="245"/>
      <c r="BO221" s="245"/>
      <c r="BP221" s="245"/>
      <c r="BQ221" s="245"/>
      <c r="BR221" s="245"/>
      <c r="BS221" s="245"/>
      <c r="BT221" s="245"/>
      <c r="BU221" s="245"/>
    </row>
    <row r="222" spans="2:73" x14ac:dyDescent="0.2">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c r="AV222" s="245"/>
      <c r="AW222" s="245"/>
      <c r="AX222" s="245"/>
      <c r="AY222" s="245"/>
      <c r="AZ222" s="245"/>
      <c r="BA222" s="245"/>
      <c r="BB222" s="245"/>
      <c r="BC222" s="245"/>
      <c r="BD222" s="245"/>
      <c r="BE222" s="245"/>
      <c r="BF222" s="245"/>
      <c r="BG222" s="245"/>
      <c r="BH222" s="245"/>
      <c r="BI222" s="245"/>
      <c r="BJ222" s="245"/>
      <c r="BK222" s="245"/>
      <c r="BL222" s="245"/>
      <c r="BM222" s="245"/>
      <c r="BN222" s="245"/>
      <c r="BO222" s="245"/>
      <c r="BP222" s="245"/>
      <c r="BQ222" s="245"/>
      <c r="BR222" s="245"/>
      <c r="BS222" s="245"/>
      <c r="BT222" s="245"/>
      <c r="BU222" s="245"/>
    </row>
    <row r="223" spans="2:73" x14ac:dyDescent="0.2">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45"/>
      <c r="AW223" s="245"/>
      <c r="AX223" s="245"/>
      <c r="AY223" s="245"/>
      <c r="AZ223" s="245"/>
      <c r="BA223" s="245"/>
      <c r="BB223" s="245"/>
      <c r="BC223" s="245"/>
      <c r="BD223" s="245"/>
      <c r="BE223" s="245"/>
      <c r="BF223" s="245"/>
      <c r="BG223" s="245"/>
      <c r="BH223" s="245"/>
      <c r="BI223" s="245"/>
      <c r="BJ223" s="245"/>
      <c r="BK223" s="245"/>
      <c r="BL223" s="245"/>
      <c r="BM223" s="245"/>
      <c r="BN223" s="245"/>
      <c r="BO223" s="245"/>
      <c r="BP223" s="245"/>
      <c r="BQ223" s="245"/>
      <c r="BR223" s="245"/>
      <c r="BS223" s="245"/>
      <c r="BT223" s="245"/>
      <c r="BU223" s="245"/>
    </row>
    <row r="224" spans="2:73" x14ac:dyDescent="0.2">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c r="BJ224" s="245"/>
      <c r="BK224" s="245"/>
      <c r="BL224" s="245"/>
      <c r="BM224" s="245"/>
      <c r="BN224" s="245"/>
      <c r="BO224" s="245"/>
      <c r="BP224" s="245"/>
      <c r="BQ224" s="245"/>
      <c r="BR224" s="245"/>
      <c r="BS224" s="245"/>
      <c r="BT224" s="245"/>
      <c r="BU224" s="245"/>
    </row>
    <row r="225" spans="2:73" x14ac:dyDescent="0.2">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c r="AS225" s="245"/>
      <c r="AT225" s="245"/>
      <c r="AU225" s="245"/>
      <c r="AV225" s="245"/>
      <c r="AW225" s="245"/>
      <c r="AX225" s="245"/>
      <c r="AY225" s="245"/>
      <c r="AZ225" s="245"/>
      <c r="BA225" s="245"/>
      <c r="BB225" s="245"/>
      <c r="BC225" s="245"/>
      <c r="BD225" s="245"/>
      <c r="BE225" s="245"/>
      <c r="BF225" s="245"/>
      <c r="BG225" s="245"/>
      <c r="BH225" s="245"/>
      <c r="BI225" s="245"/>
      <c r="BJ225" s="245"/>
      <c r="BK225" s="245"/>
      <c r="BL225" s="245"/>
      <c r="BM225" s="245"/>
      <c r="BN225" s="245"/>
      <c r="BO225" s="245"/>
      <c r="BP225" s="245"/>
      <c r="BQ225" s="245"/>
      <c r="BR225" s="245"/>
      <c r="BS225" s="245"/>
      <c r="BT225" s="245"/>
      <c r="BU225" s="245"/>
    </row>
    <row r="226" spans="2:73" x14ac:dyDescent="0.2">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c r="AA226" s="245"/>
      <c r="AB226" s="245"/>
      <c r="AC226" s="245"/>
    </row>
  </sheetData>
  <sheetProtection selectLockedCells="1" selectUnlockedCells="1"/>
  <mergeCells count="110">
    <mergeCell ref="AR3:AS3"/>
    <mergeCell ref="AT3:AU3"/>
    <mergeCell ref="AH6:AI6"/>
    <mergeCell ref="AH4:AI4"/>
    <mergeCell ref="AH3:AI3"/>
    <mergeCell ref="AJ6:AK6"/>
    <mergeCell ref="AJ4:AK4"/>
    <mergeCell ref="AJ3:AK3"/>
    <mergeCell ref="BD3:BE3"/>
    <mergeCell ref="BD4:BE4"/>
    <mergeCell ref="BD6:BE6"/>
    <mergeCell ref="AR4:AS4"/>
    <mergeCell ref="AR6:AS6"/>
    <mergeCell ref="AL6:AM6"/>
    <mergeCell ref="AN4:AO4"/>
    <mergeCell ref="AN6:AO6"/>
    <mergeCell ref="AP4:AQ4"/>
    <mergeCell ref="AP6:AQ6"/>
    <mergeCell ref="AL4:AM4"/>
    <mergeCell ref="AL3:AM3"/>
    <mergeCell ref="AN3:AO3"/>
    <mergeCell ref="AP3:AQ3"/>
    <mergeCell ref="AT4:AU4"/>
    <mergeCell ref="AT6:AU6"/>
    <mergeCell ref="D4:E4"/>
    <mergeCell ref="F4:G4"/>
    <mergeCell ref="H4:I4"/>
    <mergeCell ref="B3:C3"/>
    <mergeCell ref="D3:E3"/>
    <mergeCell ref="F3:G3"/>
    <mergeCell ref="H3:I3"/>
    <mergeCell ref="AD3:AE3"/>
    <mergeCell ref="H6:I6"/>
    <mergeCell ref="N3:O3"/>
    <mergeCell ref="T6:U6"/>
    <mergeCell ref="V6:W6"/>
    <mergeCell ref="V4:W4"/>
    <mergeCell ref="J4:K4"/>
    <mergeCell ref="L4:M4"/>
    <mergeCell ref="N4:O4"/>
    <mergeCell ref="P4:Q4"/>
    <mergeCell ref="R4:S4"/>
    <mergeCell ref="T4:U4"/>
    <mergeCell ref="P6:Q6"/>
    <mergeCell ref="R6:S6"/>
    <mergeCell ref="N6:O6"/>
    <mergeCell ref="L3:M3"/>
    <mergeCell ref="J3:K3"/>
    <mergeCell ref="AD6:AE6"/>
    <mergeCell ref="AD4:AE4"/>
    <mergeCell ref="AF6:AG6"/>
    <mergeCell ref="AF4:AG4"/>
    <mergeCell ref="AF3:AG3"/>
    <mergeCell ref="B6:C6"/>
    <mergeCell ref="D6:E6"/>
    <mergeCell ref="F6:G6"/>
    <mergeCell ref="J6:K6"/>
    <mergeCell ref="L6:M6"/>
    <mergeCell ref="AB3:AC3"/>
    <mergeCell ref="AB4:AC4"/>
    <mergeCell ref="AB6:AC6"/>
    <mergeCell ref="P3:Q3"/>
    <mergeCell ref="R3:S3"/>
    <mergeCell ref="T3:U3"/>
    <mergeCell ref="V3:W3"/>
    <mergeCell ref="X3:Y3"/>
    <mergeCell ref="X4:Y4"/>
    <mergeCell ref="X6:Y6"/>
    <mergeCell ref="Z3:AA3"/>
    <mergeCell ref="Z4:AA4"/>
    <mergeCell ref="Z6:AA6"/>
    <mergeCell ref="B4:C4"/>
    <mergeCell ref="AV4:AW4"/>
    <mergeCell ref="AV6:AW6"/>
    <mergeCell ref="AV3:AW3"/>
    <mergeCell ref="BB6:BC6"/>
    <mergeCell ref="BV6:BW6"/>
    <mergeCell ref="BJ3:BK3"/>
    <mergeCell ref="BJ4:BK4"/>
    <mergeCell ref="BJ6:BK6"/>
    <mergeCell ref="BH6:BI6"/>
    <mergeCell ref="BF3:BG3"/>
    <mergeCell ref="BF4:BG4"/>
    <mergeCell ref="BF6:BG6"/>
    <mergeCell ref="BH3:BI3"/>
    <mergeCell ref="BH4:BI4"/>
    <mergeCell ref="BN3:BO3"/>
    <mergeCell ref="BN4:BO4"/>
    <mergeCell ref="BN6:BO6"/>
    <mergeCell ref="BP3:BQ3"/>
    <mergeCell ref="BP4:BQ4"/>
    <mergeCell ref="BP6:BQ6"/>
    <mergeCell ref="BR3:BS3"/>
    <mergeCell ref="BR6:BS6"/>
    <mergeCell ref="BV3:BW4"/>
    <mergeCell ref="BR4:BS4"/>
    <mergeCell ref="BT3:BU3"/>
    <mergeCell ref="BT4:BU4"/>
    <mergeCell ref="BT6:BU6"/>
    <mergeCell ref="BB3:BC3"/>
    <mergeCell ref="BB4:BC4"/>
    <mergeCell ref="AX4:AY4"/>
    <mergeCell ref="AX6:AY6"/>
    <mergeCell ref="AX3:AY3"/>
    <mergeCell ref="AZ4:BA4"/>
    <mergeCell ref="AZ6:BA6"/>
    <mergeCell ref="AZ3:BA3"/>
    <mergeCell ref="BL3:BM3"/>
    <mergeCell ref="BL4:BM4"/>
    <mergeCell ref="BL6:BM6"/>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7345D-BD9C-4DFB-9611-7EF3BFE1B4E1}">
  <sheetPr codeName="Hoja19">
    <tabColor theme="3" tint="-0.249977111117893"/>
  </sheetPr>
  <dimension ref="A1:O226"/>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C6"/>
    </sheetView>
  </sheetViews>
  <sheetFormatPr baseColWidth="10" defaultColWidth="15" defaultRowHeight="12" x14ac:dyDescent="0.2"/>
  <cols>
    <col min="1" max="1" width="49.140625" style="214" bestFit="1" customWidth="1"/>
    <col min="2" max="2" width="27.42578125" style="214" customWidth="1"/>
    <col min="3" max="3" width="27.7109375" style="214" customWidth="1"/>
    <col min="4" max="4" width="27.42578125" style="214" customWidth="1"/>
    <col min="5" max="5" width="27.7109375" style="214" customWidth="1"/>
    <col min="6" max="6" width="27.42578125" style="214" customWidth="1"/>
    <col min="7" max="7" width="27.7109375" style="214" customWidth="1"/>
    <col min="8" max="8" width="27.42578125" style="214" customWidth="1"/>
    <col min="9" max="9" width="27.7109375" style="214" customWidth="1"/>
    <col min="10" max="10" width="14.85546875" style="214" customWidth="1"/>
    <col min="11" max="11" width="18.85546875" style="214" bestFit="1" customWidth="1"/>
    <col min="12" max="12" width="27.42578125" style="214" customWidth="1"/>
    <col min="13" max="13" width="27.7109375" style="214" customWidth="1"/>
    <col min="14" max="14" width="20.5703125" style="214" customWidth="1"/>
    <col min="15" max="15" width="18.85546875" style="214" customWidth="1"/>
    <col min="16" max="16384" width="15" style="214"/>
  </cols>
  <sheetData>
    <row r="1" spans="1:15" ht="18" x14ac:dyDescent="0.2">
      <c r="A1" s="248"/>
      <c r="B1" s="305" t="s">
        <v>472</v>
      </c>
    </row>
    <row r="2" spans="1:15" x14ac:dyDescent="0.2">
      <c r="A2" s="248"/>
    </row>
    <row r="3" spans="1:15" x14ac:dyDescent="0.2">
      <c r="A3" s="248"/>
      <c r="B3" s="353" t="s">
        <v>189</v>
      </c>
      <c r="C3" s="353"/>
      <c r="D3" s="353" t="s">
        <v>189</v>
      </c>
      <c r="E3" s="353"/>
      <c r="F3" s="353" t="s">
        <v>189</v>
      </c>
      <c r="G3" s="353"/>
      <c r="H3" s="353" t="s">
        <v>189</v>
      </c>
      <c r="I3" s="353"/>
      <c r="J3" s="353" t="s">
        <v>189</v>
      </c>
      <c r="K3" s="353"/>
      <c r="L3" s="338" t="s">
        <v>189</v>
      </c>
      <c r="M3" s="340"/>
      <c r="N3" s="355" t="s">
        <v>92</v>
      </c>
      <c r="O3" s="357"/>
    </row>
    <row r="4" spans="1:15" s="258" customFormat="1" ht="50.1" customHeight="1" x14ac:dyDescent="0.2">
      <c r="A4" s="261"/>
      <c r="B4" s="354" t="s">
        <v>263</v>
      </c>
      <c r="C4" s="353"/>
      <c r="D4" s="354" t="s">
        <v>385</v>
      </c>
      <c r="E4" s="353"/>
      <c r="F4" s="354" t="s">
        <v>386</v>
      </c>
      <c r="G4" s="354"/>
      <c r="H4" s="354" t="s">
        <v>387</v>
      </c>
      <c r="I4" s="353"/>
      <c r="J4" s="354" t="s">
        <v>264</v>
      </c>
      <c r="K4" s="354"/>
      <c r="L4" s="354" t="s">
        <v>388</v>
      </c>
      <c r="M4" s="353"/>
      <c r="N4" s="351"/>
      <c r="O4" s="358"/>
    </row>
    <row r="5" spans="1:15" s="250" customFormat="1" x14ac:dyDescent="0.2">
      <c r="A5" s="262"/>
      <c r="B5" s="304">
        <v>2022</v>
      </c>
      <c r="C5" s="304">
        <v>2023</v>
      </c>
      <c r="D5" s="304">
        <v>2022</v>
      </c>
      <c r="E5" s="304">
        <v>2023</v>
      </c>
      <c r="F5" s="304">
        <v>2022</v>
      </c>
      <c r="G5" s="304">
        <v>2023</v>
      </c>
      <c r="H5" s="304">
        <v>2022</v>
      </c>
      <c r="I5" s="304">
        <v>2023</v>
      </c>
      <c r="J5" s="304">
        <v>2022</v>
      </c>
      <c r="K5" s="304">
        <v>2023</v>
      </c>
      <c r="L5" s="304">
        <v>2022</v>
      </c>
      <c r="M5" s="304">
        <v>2023</v>
      </c>
      <c r="N5" s="304">
        <v>2022</v>
      </c>
      <c r="O5" s="304">
        <v>2023</v>
      </c>
    </row>
    <row r="6" spans="1:15" x14ac:dyDescent="0.2">
      <c r="A6" s="248"/>
      <c r="B6" s="353" t="s">
        <v>246</v>
      </c>
      <c r="C6" s="353"/>
      <c r="D6" s="353" t="s">
        <v>246</v>
      </c>
      <c r="E6" s="353"/>
      <c r="F6" s="353"/>
      <c r="G6" s="353"/>
      <c r="H6" s="353" t="s">
        <v>246</v>
      </c>
      <c r="I6" s="353"/>
      <c r="J6" s="354" t="s">
        <v>102</v>
      </c>
      <c r="K6" s="353"/>
      <c r="L6" s="354" t="s">
        <v>102</v>
      </c>
      <c r="M6" s="353"/>
      <c r="N6" s="353" t="s">
        <v>246</v>
      </c>
      <c r="O6" s="353"/>
    </row>
    <row r="7" spans="1:15" s="216" customFormat="1" ht="15" x14ac:dyDescent="0.2">
      <c r="A7" s="306" t="s">
        <v>39</v>
      </c>
      <c r="B7" s="253"/>
      <c r="C7" s="254"/>
      <c r="D7" s="253"/>
      <c r="E7" s="254"/>
      <c r="F7" s="253"/>
      <c r="G7" s="254"/>
      <c r="H7" s="253"/>
      <c r="I7" s="254"/>
      <c r="J7" s="253"/>
      <c r="K7" s="254"/>
      <c r="L7" s="253"/>
      <c r="M7" s="254"/>
      <c r="N7" s="253"/>
      <c r="O7" s="254"/>
    </row>
    <row r="8" spans="1:15" s="216" customFormat="1" x14ac:dyDescent="0.2">
      <c r="B8" s="209"/>
      <c r="C8" s="211"/>
      <c r="D8" s="209"/>
      <c r="E8" s="211"/>
      <c r="F8" s="209"/>
      <c r="G8" s="211"/>
      <c r="H8" s="209"/>
      <c r="I8" s="211"/>
      <c r="J8" s="209"/>
      <c r="K8" s="211"/>
      <c r="L8" s="209"/>
      <c r="M8" s="211"/>
      <c r="N8" s="209"/>
      <c r="O8" s="211"/>
    </row>
    <row r="9" spans="1:15" s="216" customFormat="1" x14ac:dyDescent="0.2">
      <c r="A9" s="218" t="s">
        <v>40</v>
      </c>
      <c r="B9" s="209"/>
      <c r="C9" s="211"/>
      <c r="D9" s="209"/>
      <c r="E9" s="211"/>
      <c r="F9" s="209"/>
      <c r="G9" s="211"/>
      <c r="H9" s="209"/>
      <c r="I9" s="211"/>
      <c r="J9" s="209"/>
      <c r="K9" s="211"/>
      <c r="L9" s="209"/>
      <c r="M9" s="211"/>
      <c r="N9" s="209"/>
      <c r="O9" s="211"/>
    </row>
    <row r="10" spans="1:15" x14ac:dyDescent="0.2">
      <c r="A10" s="214" t="s">
        <v>41</v>
      </c>
      <c r="B10" s="209">
        <v>36475587000</v>
      </c>
      <c r="C10" s="213">
        <v>32681536000</v>
      </c>
      <c r="D10" s="209">
        <v>441055200</v>
      </c>
      <c r="E10" s="213">
        <v>497217317</v>
      </c>
      <c r="F10" s="209">
        <v>88813266</v>
      </c>
      <c r="G10" s="213">
        <v>57978762</v>
      </c>
      <c r="H10" s="209">
        <v>1324362405</v>
      </c>
      <c r="I10" s="213">
        <v>1237628320</v>
      </c>
      <c r="J10" s="209"/>
      <c r="K10" s="213">
        <v>139863000</v>
      </c>
      <c r="L10" s="209">
        <v>6127473000</v>
      </c>
      <c r="M10" s="213">
        <v>8288326000</v>
      </c>
      <c r="N10" s="209">
        <f>+B10+D10+F10+H10+J10+L10</f>
        <v>44457290871</v>
      </c>
      <c r="O10" s="209">
        <f t="shared" ref="O10:O11" si="0">+C10+E10+G10+I10+K10+M10</f>
        <v>42902549399</v>
      </c>
    </row>
    <row r="11" spans="1:15" x14ac:dyDescent="0.2">
      <c r="A11" s="214" t="s">
        <v>42</v>
      </c>
      <c r="B11" s="213">
        <v>50601843000</v>
      </c>
      <c r="C11" s="213">
        <v>43572899000</v>
      </c>
      <c r="D11" s="213">
        <v>10324846</v>
      </c>
      <c r="E11" s="213">
        <v>35800045</v>
      </c>
      <c r="F11" s="213">
        <v>53387858</v>
      </c>
      <c r="G11" s="213">
        <v>59845005</v>
      </c>
      <c r="H11" s="213">
        <v>380049344</v>
      </c>
      <c r="I11" s="213">
        <v>371527688</v>
      </c>
      <c r="J11" s="213"/>
      <c r="K11" s="213">
        <v>1125000000</v>
      </c>
      <c r="L11" s="213">
        <v>6167724000</v>
      </c>
      <c r="M11" s="213">
        <v>7507860000</v>
      </c>
      <c r="N11" s="209">
        <f t="shared" ref="N11" si="1">+B11+D11+F11+H11+J11+L11</f>
        <v>57213329048</v>
      </c>
      <c r="O11" s="209">
        <f t="shared" si="0"/>
        <v>52672931738</v>
      </c>
    </row>
    <row r="12" spans="1:15" s="224" customFormat="1" x14ac:dyDescent="0.2">
      <c r="A12" s="223" t="s">
        <v>43</v>
      </c>
      <c r="B12" s="210">
        <f t="shared" ref="B12:O12" si="2">+B10+B11</f>
        <v>87077430000</v>
      </c>
      <c r="C12" s="210">
        <f t="shared" si="2"/>
        <v>76254435000</v>
      </c>
      <c r="D12" s="210">
        <f t="shared" si="2"/>
        <v>451380046</v>
      </c>
      <c r="E12" s="210">
        <f t="shared" si="2"/>
        <v>533017362</v>
      </c>
      <c r="F12" s="210">
        <f t="shared" si="2"/>
        <v>142201124</v>
      </c>
      <c r="G12" s="210">
        <f t="shared" si="2"/>
        <v>117823767</v>
      </c>
      <c r="H12" s="210">
        <f t="shared" si="2"/>
        <v>1704411749</v>
      </c>
      <c r="I12" s="210">
        <f t="shared" si="2"/>
        <v>1609156008</v>
      </c>
      <c r="J12" s="210">
        <f t="shared" si="2"/>
        <v>0</v>
      </c>
      <c r="K12" s="210">
        <f t="shared" si="2"/>
        <v>1264863000</v>
      </c>
      <c r="L12" s="210">
        <f>+L10+L11</f>
        <v>12295197000</v>
      </c>
      <c r="M12" s="210">
        <f>+M10+M11</f>
        <v>15796186000</v>
      </c>
      <c r="N12" s="210">
        <f t="shared" si="2"/>
        <v>101670619919</v>
      </c>
      <c r="O12" s="210">
        <f t="shared" si="2"/>
        <v>95575481137</v>
      </c>
    </row>
    <row r="13" spans="1:15" x14ac:dyDescent="0.2">
      <c r="A13" s="218" t="s">
        <v>44</v>
      </c>
      <c r="B13" s="211"/>
      <c r="C13" s="211"/>
      <c r="D13" s="211"/>
      <c r="E13" s="211"/>
      <c r="F13" s="211"/>
      <c r="G13" s="211"/>
      <c r="H13" s="211"/>
      <c r="I13" s="211"/>
      <c r="J13" s="211"/>
      <c r="K13" s="211"/>
      <c r="L13" s="211"/>
      <c r="M13" s="211"/>
      <c r="N13" s="211"/>
      <c r="O13" s="211"/>
    </row>
    <row r="14" spans="1:15" x14ac:dyDescent="0.2">
      <c r="A14" s="214" t="s">
        <v>45</v>
      </c>
      <c r="B14" s="213">
        <v>29466377000</v>
      </c>
      <c r="C14" s="213">
        <v>27170725000</v>
      </c>
      <c r="D14" s="213">
        <v>127928092</v>
      </c>
      <c r="E14" s="213">
        <v>180798212</v>
      </c>
      <c r="F14" s="213">
        <v>54762225</v>
      </c>
      <c r="G14" s="213">
        <v>30988238</v>
      </c>
      <c r="H14" s="213">
        <v>773174685</v>
      </c>
      <c r="I14" s="213">
        <v>686878136</v>
      </c>
      <c r="J14" s="213"/>
      <c r="K14" s="213">
        <v>105820000</v>
      </c>
      <c r="L14" s="213">
        <v>3840497000</v>
      </c>
      <c r="M14" s="213">
        <v>5226843000</v>
      </c>
      <c r="N14" s="209">
        <f t="shared" ref="N14:N15" si="3">+B14+D14+F14+H14+J14+L14</f>
        <v>34262739002</v>
      </c>
      <c r="O14" s="209">
        <f t="shared" ref="O14:O15" si="4">+C14+E14+G14+I14+K14+M14</f>
        <v>33402052586</v>
      </c>
    </row>
    <row r="15" spans="1:15" x14ac:dyDescent="0.2">
      <c r="A15" s="226" t="s">
        <v>46</v>
      </c>
      <c r="B15" s="213">
        <v>25309857000</v>
      </c>
      <c r="C15" s="213">
        <v>16038257000</v>
      </c>
      <c r="D15" s="213"/>
      <c r="E15" s="213"/>
      <c r="F15" s="213">
        <v>102582</v>
      </c>
      <c r="G15" s="213">
        <v>2753561</v>
      </c>
      <c r="H15" s="213">
        <v>122738726</v>
      </c>
      <c r="I15" s="213"/>
      <c r="J15" s="213"/>
      <c r="K15" s="213"/>
      <c r="L15" s="213">
        <v>1304862000</v>
      </c>
      <c r="M15" s="213">
        <v>2270734000</v>
      </c>
      <c r="N15" s="209">
        <f t="shared" si="3"/>
        <v>26737560308</v>
      </c>
      <c r="O15" s="209">
        <f t="shared" si="4"/>
        <v>18311744561</v>
      </c>
    </row>
    <row r="16" spans="1:15" s="224" customFormat="1" x14ac:dyDescent="0.2">
      <c r="A16" s="223" t="s">
        <v>47</v>
      </c>
      <c r="B16" s="210">
        <f t="shared" ref="B16:O16" si="5">+B14+B15</f>
        <v>54776234000</v>
      </c>
      <c r="C16" s="210">
        <f t="shared" si="5"/>
        <v>43208982000</v>
      </c>
      <c r="D16" s="210">
        <f t="shared" si="5"/>
        <v>127928092</v>
      </c>
      <c r="E16" s="210">
        <f t="shared" si="5"/>
        <v>180798212</v>
      </c>
      <c r="F16" s="210">
        <f t="shared" si="5"/>
        <v>54864807</v>
      </c>
      <c r="G16" s="210">
        <f t="shared" si="5"/>
        <v>33741799</v>
      </c>
      <c r="H16" s="210">
        <f t="shared" si="5"/>
        <v>895913411</v>
      </c>
      <c r="I16" s="210">
        <f t="shared" si="5"/>
        <v>686878136</v>
      </c>
      <c r="J16" s="210">
        <f t="shared" si="5"/>
        <v>0</v>
      </c>
      <c r="K16" s="210">
        <f t="shared" si="5"/>
        <v>105820000</v>
      </c>
      <c r="L16" s="210">
        <f>+L14+L15</f>
        <v>5145359000</v>
      </c>
      <c r="M16" s="210">
        <f>+M14+M15</f>
        <v>7497577000</v>
      </c>
      <c r="N16" s="210">
        <f t="shared" si="5"/>
        <v>61000299310</v>
      </c>
      <c r="O16" s="210">
        <f t="shared" si="5"/>
        <v>51713797147</v>
      </c>
    </row>
    <row r="17" spans="1:15" x14ac:dyDescent="0.2">
      <c r="A17" s="218" t="s">
        <v>48</v>
      </c>
      <c r="B17" s="209"/>
      <c r="C17" s="209"/>
      <c r="D17" s="209"/>
      <c r="E17" s="209"/>
      <c r="F17" s="209"/>
      <c r="G17" s="209"/>
      <c r="H17" s="209"/>
      <c r="I17" s="209"/>
      <c r="J17" s="209"/>
      <c r="K17" s="209"/>
      <c r="L17" s="209"/>
      <c r="M17" s="209"/>
      <c r="N17" s="209"/>
      <c r="O17" s="209"/>
    </row>
    <row r="18" spans="1:15" x14ac:dyDescent="0.2">
      <c r="A18" s="214" t="s">
        <v>94</v>
      </c>
      <c r="B18" s="213">
        <v>236628000</v>
      </c>
      <c r="C18" s="213">
        <v>236628000</v>
      </c>
      <c r="D18" s="213">
        <v>20000000</v>
      </c>
      <c r="E18" s="213">
        <v>20000000</v>
      </c>
      <c r="F18" s="213">
        <f>3000011+68659837</f>
        <v>71659848</v>
      </c>
      <c r="G18" s="213">
        <f>3000012+72569868</f>
        <v>75569880</v>
      </c>
      <c r="H18" s="213">
        <v>100000000</v>
      </c>
      <c r="I18" s="213">
        <v>100000000</v>
      </c>
      <c r="J18" s="213"/>
      <c r="K18" s="213">
        <v>640000000</v>
      </c>
      <c r="L18" s="213">
        <v>750000000</v>
      </c>
      <c r="M18" s="213">
        <v>750000000</v>
      </c>
      <c r="N18" s="209">
        <f t="shared" ref="N18:N31" si="6">+B18+D18+F18+H18+J18+L18</f>
        <v>1178287848</v>
      </c>
      <c r="O18" s="209">
        <f t="shared" ref="O18:O31" si="7">+C18+E18+G18+I18+K18+M18</f>
        <v>1822197880</v>
      </c>
    </row>
    <row r="19" spans="1:15" x14ac:dyDescent="0.2">
      <c r="A19" s="214" t="s">
        <v>182</v>
      </c>
      <c r="B19" s="213"/>
      <c r="C19" s="213"/>
      <c r="D19" s="213"/>
      <c r="E19" s="213"/>
      <c r="F19" s="213"/>
      <c r="G19" s="213"/>
      <c r="H19" s="213"/>
      <c r="I19" s="213"/>
      <c r="J19" s="213"/>
      <c r="K19" s="213"/>
      <c r="L19" s="213"/>
      <c r="M19" s="213"/>
      <c r="N19" s="209">
        <f t="shared" si="6"/>
        <v>0</v>
      </c>
      <c r="O19" s="209">
        <f t="shared" si="7"/>
        <v>0</v>
      </c>
    </row>
    <row r="20" spans="1:15" x14ac:dyDescent="0.2">
      <c r="A20" s="214" t="s">
        <v>181</v>
      </c>
      <c r="B20" s="213"/>
      <c r="C20" s="213"/>
      <c r="D20" s="213"/>
      <c r="E20" s="213"/>
      <c r="F20" s="213"/>
      <c r="G20" s="213"/>
      <c r="H20" s="213"/>
      <c r="I20" s="213"/>
      <c r="J20" s="213"/>
      <c r="K20" s="213"/>
      <c r="L20" s="213"/>
      <c r="M20" s="213"/>
      <c r="N20" s="209">
        <f t="shared" si="6"/>
        <v>0</v>
      </c>
      <c r="O20" s="209">
        <f t="shared" si="7"/>
        <v>0</v>
      </c>
    </row>
    <row r="21" spans="1:15" s="216" customFormat="1" x14ac:dyDescent="0.2">
      <c r="A21" s="214" t="s">
        <v>50</v>
      </c>
      <c r="B21" s="213">
        <v>500000</v>
      </c>
      <c r="C21" s="213">
        <v>500000</v>
      </c>
      <c r="D21" s="213">
        <v>10000000</v>
      </c>
      <c r="E21" s="213">
        <v>10000000</v>
      </c>
      <c r="F21" s="213">
        <v>376234</v>
      </c>
      <c r="G21" s="213">
        <v>0</v>
      </c>
      <c r="H21" s="213">
        <v>57224294</v>
      </c>
      <c r="I21" s="213">
        <v>57224294</v>
      </c>
      <c r="J21" s="213"/>
      <c r="K21" s="213">
        <v>147299830</v>
      </c>
      <c r="L21" s="213">
        <v>942235000</v>
      </c>
      <c r="M21" s="213">
        <v>942235000</v>
      </c>
      <c r="N21" s="209">
        <f t="shared" si="6"/>
        <v>1010335528</v>
      </c>
      <c r="O21" s="209">
        <f t="shared" si="7"/>
        <v>1157259124</v>
      </c>
    </row>
    <row r="22" spans="1:15" s="216" customFormat="1" x14ac:dyDescent="0.2">
      <c r="A22" s="214" t="s">
        <v>95</v>
      </c>
      <c r="B22" s="213"/>
      <c r="C22" s="213"/>
      <c r="D22" s="213"/>
      <c r="E22" s="213"/>
      <c r="F22" s="213"/>
      <c r="G22" s="213"/>
      <c r="H22" s="213">
        <v>66128922</v>
      </c>
      <c r="I22" s="213">
        <v>66128922</v>
      </c>
      <c r="J22" s="213"/>
      <c r="K22" s="213"/>
      <c r="L22" s="213"/>
      <c r="M22" s="213"/>
      <c r="N22" s="209">
        <f t="shared" si="6"/>
        <v>66128922</v>
      </c>
      <c r="O22" s="209">
        <f t="shared" si="7"/>
        <v>66128922</v>
      </c>
    </row>
    <row r="23" spans="1:15" x14ac:dyDescent="0.2">
      <c r="A23" s="214" t="s">
        <v>51</v>
      </c>
      <c r="B23" s="209"/>
      <c r="C23" s="209"/>
      <c r="D23" s="209"/>
      <c r="E23" s="209"/>
      <c r="F23" s="209"/>
      <c r="G23" s="209"/>
      <c r="H23" s="209"/>
      <c r="I23" s="209"/>
      <c r="J23" s="209"/>
      <c r="K23" s="209"/>
      <c r="L23" s="209"/>
      <c r="M23" s="209"/>
      <c r="N23" s="209">
        <f t="shared" si="6"/>
        <v>0</v>
      </c>
      <c r="O23" s="209">
        <f t="shared" si="7"/>
        <v>0</v>
      </c>
    </row>
    <row r="24" spans="1:15" s="216" customFormat="1" x14ac:dyDescent="0.2">
      <c r="A24" s="214" t="s">
        <v>52</v>
      </c>
      <c r="B24" s="209"/>
      <c r="C24" s="209"/>
      <c r="D24" s="209"/>
      <c r="E24" s="209"/>
      <c r="F24" s="209"/>
      <c r="G24" s="209"/>
      <c r="H24" s="209"/>
      <c r="I24" s="209"/>
      <c r="J24" s="209"/>
      <c r="K24" s="209"/>
      <c r="L24" s="209"/>
      <c r="M24" s="209"/>
      <c r="N24" s="209">
        <f t="shared" si="6"/>
        <v>0</v>
      </c>
      <c r="O24" s="209">
        <f t="shared" si="7"/>
        <v>0</v>
      </c>
    </row>
    <row r="25" spans="1:15" s="216" customFormat="1" x14ac:dyDescent="0.2">
      <c r="A25" s="214" t="s">
        <v>53</v>
      </c>
      <c r="B25" s="211"/>
      <c r="C25" s="211"/>
      <c r="D25" s="211"/>
      <c r="E25" s="211"/>
      <c r="F25" s="211"/>
      <c r="G25" s="211"/>
      <c r="H25" s="211"/>
      <c r="I25" s="211"/>
      <c r="J25" s="211"/>
      <c r="K25" s="211"/>
      <c r="L25" s="211">
        <v>2429055000</v>
      </c>
      <c r="M25" s="211">
        <v>2429055000</v>
      </c>
      <c r="N25" s="209">
        <f t="shared" si="6"/>
        <v>2429055000</v>
      </c>
      <c r="O25" s="209">
        <f t="shared" si="7"/>
        <v>2429055000</v>
      </c>
    </row>
    <row r="26" spans="1:15" x14ac:dyDescent="0.2">
      <c r="A26" s="214" t="s">
        <v>54</v>
      </c>
      <c r="B26" s="213">
        <v>17999627000</v>
      </c>
      <c r="C26" s="213">
        <v>13056636000</v>
      </c>
      <c r="D26" s="213">
        <v>131322286</v>
      </c>
      <c r="E26" s="213">
        <v>243767196</v>
      </c>
      <c r="F26" s="213"/>
      <c r="G26" s="213"/>
      <c r="H26" s="213">
        <v>281438443</v>
      </c>
      <c r="I26" s="213">
        <v>390583566</v>
      </c>
      <c r="J26" s="209"/>
      <c r="K26" s="212">
        <v>71680490</v>
      </c>
      <c r="L26" s="213">
        <v>2043623000</v>
      </c>
      <c r="M26" s="213">
        <v>1926752000</v>
      </c>
      <c r="N26" s="209">
        <f t="shared" si="6"/>
        <v>20456010729</v>
      </c>
      <c r="O26" s="209">
        <f t="shared" si="7"/>
        <v>15689419252</v>
      </c>
    </row>
    <row r="27" spans="1:15" x14ac:dyDescent="0.2">
      <c r="A27" s="214" t="s">
        <v>55</v>
      </c>
      <c r="B27" s="213">
        <v>14064441000</v>
      </c>
      <c r="C27" s="213">
        <v>19751689000</v>
      </c>
      <c r="D27" s="213">
        <v>159810525</v>
      </c>
      <c r="E27" s="213">
        <v>76132811</v>
      </c>
      <c r="F27" s="213">
        <v>15300235</v>
      </c>
      <c r="G27" s="213">
        <v>8512088</v>
      </c>
      <c r="H27" s="213"/>
      <c r="I27" s="213"/>
      <c r="J27" s="213"/>
      <c r="K27" s="213"/>
      <c r="L27" s="213">
        <v>-1265642000</v>
      </c>
      <c r="M27" s="213"/>
      <c r="N27" s="209">
        <f t="shared" si="6"/>
        <v>12973909760</v>
      </c>
      <c r="O27" s="209">
        <f t="shared" si="7"/>
        <v>19836333899</v>
      </c>
    </row>
    <row r="28" spans="1:15" x14ac:dyDescent="0.2">
      <c r="A28" s="214" t="s">
        <v>56</v>
      </c>
      <c r="B28" s="213"/>
      <c r="C28" s="213"/>
      <c r="D28" s="213">
        <v>2319143</v>
      </c>
      <c r="E28" s="213">
        <v>2319143</v>
      </c>
      <c r="F28" s="213"/>
      <c r="G28" s="213"/>
      <c r="H28" s="213">
        <v>155528090</v>
      </c>
      <c r="I28" s="213">
        <v>155528090</v>
      </c>
      <c r="J28" s="213"/>
      <c r="K28" s="213">
        <v>300062680</v>
      </c>
      <c r="L28" s="213">
        <v>768067000</v>
      </c>
      <c r="M28" s="213">
        <v>768067000</v>
      </c>
      <c r="N28" s="209">
        <f t="shared" si="6"/>
        <v>925914233</v>
      </c>
      <c r="O28" s="209">
        <f t="shared" si="7"/>
        <v>1225976913</v>
      </c>
    </row>
    <row r="29" spans="1:15" x14ac:dyDescent="0.2">
      <c r="A29" s="214" t="s">
        <v>57</v>
      </c>
      <c r="B29" s="209"/>
      <c r="C29" s="209"/>
      <c r="D29" s="209"/>
      <c r="E29" s="209"/>
      <c r="F29" s="209"/>
      <c r="G29" s="209"/>
      <c r="H29" s="209">
        <v>148178589</v>
      </c>
      <c r="I29" s="209">
        <v>152813000</v>
      </c>
      <c r="J29" s="209"/>
      <c r="K29" s="209"/>
      <c r="L29" s="209">
        <v>1482500000</v>
      </c>
      <c r="M29" s="209">
        <v>1482500000</v>
      </c>
      <c r="N29" s="209">
        <f t="shared" si="6"/>
        <v>1630678589</v>
      </c>
      <c r="O29" s="209">
        <f t="shared" si="7"/>
        <v>1635313000</v>
      </c>
    </row>
    <row r="30" spans="1:15" x14ac:dyDescent="0.2">
      <c r="A30" s="214" t="s">
        <v>96</v>
      </c>
      <c r="B30" s="213"/>
      <c r="C30" s="213"/>
      <c r="D30" s="213"/>
      <c r="E30" s="213"/>
      <c r="F30" s="213"/>
      <c r="G30" s="213"/>
      <c r="H30" s="213"/>
      <c r="I30" s="213"/>
      <c r="J30" s="213"/>
      <c r="K30" s="213"/>
      <c r="L30" s="213"/>
      <c r="M30" s="213"/>
      <c r="N30" s="209">
        <f t="shared" si="6"/>
        <v>0</v>
      </c>
      <c r="O30" s="209">
        <f t="shared" si="7"/>
        <v>0</v>
      </c>
    </row>
    <row r="31" spans="1:15" x14ac:dyDescent="0.2">
      <c r="A31" s="214" t="s">
        <v>58</v>
      </c>
      <c r="B31" s="209"/>
      <c r="C31" s="209"/>
      <c r="D31" s="209"/>
      <c r="E31" s="209"/>
      <c r="F31" s="209"/>
      <c r="G31" s="209"/>
      <c r="H31" s="209"/>
      <c r="I31" s="209"/>
      <c r="J31" s="209"/>
      <c r="K31" s="209"/>
      <c r="L31" s="209"/>
      <c r="M31" s="209"/>
      <c r="N31" s="209">
        <f t="shared" si="6"/>
        <v>0</v>
      </c>
      <c r="O31" s="209">
        <f t="shared" si="7"/>
        <v>0</v>
      </c>
    </row>
    <row r="32" spans="1:15" s="224" customFormat="1" x14ac:dyDescent="0.2">
      <c r="A32" s="223" t="s">
        <v>59</v>
      </c>
      <c r="B32" s="210">
        <f t="shared" ref="B32:K32" si="8">SUM(B18:B31)</f>
        <v>32301196000</v>
      </c>
      <c r="C32" s="210">
        <f t="shared" si="8"/>
        <v>33045453000</v>
      </c>
      <c r="D32" s="210">
        <f t="shared" si="8"/>
        <v>323451954</v>
      </c>
      <c r="E32" s="210">
        <f t="shared" si="8"/>
        <v>352219150</v>
      </c>
      <c r="F32" s="210">
        <f t="shared" si="8"/>
        <v>87336317</v>
      </c>
      <c r="G32" s="210">
        <f t="shared" si="8"/>
        <v>84081968</v>
      </c>
      <c r="H32" s="210">
        <f t="shared" si="8"/>
        <v>808498338</v>
      </c>
      <c r="I32" s="210">
        <f t="shared" si="8"/>
        <v>922277872</v>
      </c>
      <c r="J32" s="210">
        <f t="shared" si="8"/>
        <v>0</v>
      </c>
      <c r="K32" s="210">
        <f t="shared" si="8"/>
        <v>1159043000</v>
      </c>
      <c r="L32" s="210">
        <f>SUM(L18:L31)</f>
        <v>7149838000</v>
      </c>
      <c r="M32" s="210">
        <f>SUM(M18:M31)</f>
        <v>8298609000</v>
      </c>
      <c r="N32" s="210">
        <f t="shared" ref="N32:O32" si="9">SUM(N18:N31)</f>
        <v>40670320609</v>
      </c>
      <c r="O32" s="210">
        <f t="shared" si="9"/>
        <v>43861683990</v>
      </c>
    </row>
    <row r="33" spans="1:15" s="224" customFormat="1" x14ac:dyDescent="0.2">
      <c r="A33" s="223" t="s">
        <v>60</v>
      </c>
      <c r="B33" s="210">
        <f t="shared" ref="B33:O33" si="10">+B16+B32</f>
        <v>87077430000</v>
      </c>
      <c r="C33" s="210">
        <f t="shared" si="10"/>
        <v>76254435000</v>
      </c>
      <c r="D33" s="210">
        <f t="shared" si="10"/>
        <v>451380046</v>
      </c>
      <c r="E33" s="210">
        <f t="shared" si="10"/>
        <v>533017362</v>
      </c>
      <c r="F33" s="210">
        <f t="shared" si="10"/>
        <v>142201124</v>
      </c>
      <c r="G33" s="210">
        <f t="shared" si="10"/>
        <v>117823767</v>
      </c>
      <c r="H33" s="210">
        <f t="shared" si="10"/>
        <v>1704411749</v>
      </c>
      <c r="I33" s="210">
        <f t="shared" si="10"/>
        <v>1609156008</v>
      </c>
      <c r="J33" s="210">
        <f t="shared" si="10"/>
        <v>0</v>
      </c>
      <c r="K33" s="210">
        <f t="shared" si="10"/>
        <v>1264863000</v>
      </c>
      <c r="L33" s="210">
        <f>+L16+L32</f>
        <v>12295197000</v>
      </c>
      <c r="M33" s="210">
        <f>+M16+M32</f>
        <v>15796186000</v>
      </c>
      <c r="N33" s="210">
        <f t="shared" si="10"/>
        <v>101670619919</v>
      </c>
      <c r="O33" s="210">
        <f t="shared" si="10"/>
        <v>95575481137</v>
      </c>
    </row>
    <row r="34" spans="1:15" s="224" customFormat="1" x14ac:dyDescent="0.2">
      <c r="A34" s="232"/>
      <c r="B34" s="233"/>
      <c r="C34" s="233"/>
      <c r="D34" s="233"/>
      <c r="E34" s="233"/>
      <c r="F34" s="233"/>
      <c r="G34" s="233"/>
      <c r="H34" s="233"/>
      <c r="I34" s="233"/>
      <c r="J34" s="233"/>
      <c r="K34" s="233"/>
      <c r="L34" s="233"/>
      <c r="M34" s="233"/>
      <c r="N34" s="233"/>
      <c r="O34" s="233"/>
    </row>
    <row r="35" spans="1:15" s="224" customFormat="1" ht="15" x14ac:dyDescent="0.2">
      <c r="A35" s="306" t="s">
        <v>242</v>
      </c>
      <c r="B35" s="233"/>
      <c r="C35" s="233"/>
      <c r="D35" s="233"/>
      <c r="E35" s="233"/>
      <c r="F35" s="233"/>
      <c r="G35" s="233"/>
      <c r="H35" s="233"/>
      <c r="I35" s="233"/>
      <c r="J35" s="233"/>
      <c r="K35" s="213"/>
      <c r="L35" s="233"/>
      <c r="M35" s="233"/>
      <c r="N35" s="233"/>
      <c r="O35" s="233"/>
    </row>
    <row r="36" spans="1:15" s="224" customFormat="1" x14ac:dyDescent="0.2">
      <c r="A36" s="216"/>
      <c r="B36" s="233"/>
      <c r="C36" s="233"/>
      <c r="D36" s="233"/>
      <c r="E36" s="233"/>
      <c r="F36" s="233"/>
      <c r="G36" s="233"/>
      <c r="H36" s="233"/>
      <c r="I36" s="233"/>
      <c r="J36" s="233"/>
      <c r="K36" s="213"/>
      <c r="L36" s="233"/>
      <c r="M36" s="233"/>
      <c r="N36" s="233"/>
      <c r="O36" s="233"/>
    </row>
    <row r="37" spans="1:15" x14ac:dyDescent="0.2">
      <c r="A37" s="226" t="s">
        <v>61</v>
      </c>
      <c r="B37" s="213">
        <v>117350850000</v>
      </c>
      <c r="C37" s="213">
        <v>132081517000</v>
      </c>
      <c r="D37" s="213">
        <v>1080475783</v>
      </c>
      <c r="E37" s="213">
        <v>1863206800</v>
      </c>
      <c r="F37" s="213">
        <v>145173514</v>
      </c>
      <c r="G37" s="213">
        <v>151421349</v>
      </c>
      <c r="H37" s="213">
        <v>2075961097</v>
      </c>
      <c r="I37" s="213">
        <v>2539413307</v>
      </c>
      <c r="J37" s="213"/>
      <c r="K37" s="213">
        <v>790841000</v>
      </c>
      <c r="L37" s="213">
        <v>21769476000</v>
      </c>
      <c r="M37" s="213">
        <v>27288315000</v>
      </c>
      <c r="N37" s="209">
        <f t="shared" ref="N37:N38" si="11">+B37+D37+F37+H37+J37+L37</f>
        <v>142421936394</v>
      </c>
      <c r="O37" s="209">
        <f t="shared" ref="O37:O38" si="12">+C37+E37+G37+I37+K37+M37</f>
        <v>164714714456</v>
      </c>
    </row>
    <row r="38" spans="1:15" x14ac:dyDescent="0.2">
      <c r="A38" s="226" t="s">
        <v>62</v>
      </c>
      <c r="B38" s="213">
        <v>84830448000</v>
      </c>
      <c r="C38" s="213">
        <v>102541333000</v>
      </c>
      <c r="D38" s="213">
        <v>844212986</v>
      </c>
      <c r="E38" s="213">
        <v>1417369310</v>
      </c>
      <c r="F38" s="213">
        <v>116242682</v>
      </c>
      <c r="G38" s="213">
        <v>137465358</v>
      </c>
      <c r="H38" s="213">
        <v>304206085</v>
      </c>
      <c r="I38" s="213">
        <v>316880161</v>
      </c>
      <c r="J38" s="213"/>
      <c r="K38" s="213">
        <v>616855980</v>
      </c>
      <c r="L38" s="213"/>
      <c r="M38" s="213"/>
      <c r="N38" s="209">
        <f t="shared" si="11"/>
        <v>86095109753</v>
      </c>
      <c r="O38" s="209">
        <f t="shared" si="12"/>
        <v>105029903809</v>
      </c>
    </row>
    <row r="39" spans="1:15" x14ac:dyDescent="0.2">
      <c r="A39" s="214" t="s">
        <v>63</v>
      </c>
      <c r="B39" s="213">
        <v>6202137000</v>
      </c>
      <c r="C39" s="213">
        <v>7585484000</v>
      </c>
      <c r="D39" s="213"/>
      <c r="E39" s="213"/>
      <c r="F39" s="213">
        <v>13184020</v>
      </c>
      <c r="G39" s="213">
        <f>272152+16699727+162937-3674640+1690215</f>
        <v>15150391</v>
      </c>
      <c r="H39" s="213">
        <v>1188726653</v>
      </c>
      <c r="I39" s="213">
        <v>1535194276</v>
      </c>
      <c r="J39" s="213"/>
      <c r="K39" s="213">
        <v>102304530</v>
      </c>
      <c r="L39" s="213">
        <v>18917023000</v>
      </c>
      <c r="M39" s="213">
        <v>24735420000</v>
      </c>
      <c r="N39" s="209">
        <f t="shared" ref="N39" si="13">+B39+D39+F39+H39+J39+L39</f>
        <v>26321070673</v>
      </c>
      <c r="O39" s="209">
        <f t="shared" ref="O39" si="14">+C39+E39+G39+I39+K39+M39</f>
        <v>33973553197</v>
      </c>
    </row>
    <row r="40" spans="1:15" s="224" customFormat="1" x14ac:dyDescent="0.2">
      <c r="A40" s="223" t="s">
        <v>64</v>
      </c>
      <c r="B40" s="210">
        <f t="shared" ref="B40:O40" si="15">+B37-B38-B39</f>
        <v>26318265000</v>
      </c>
      <c r="C40" s="210">
        <f t="shared" si="15"/>
        <v>21954700000</v>
      </c>
      <c r="D40" s="210">
        <f t="shared" si="15"/>
        <v>236262797</v>
      </c>
      <c r="E40" s="210">
        <f t="shared" si="15"/>
        <v>445837490</v>
      </c>
      <c r="F40" s="210">
        <f t="shared" si="15"/>
        <v>15746812</v>
      </c>
      <c r="G40" s="210">
        <f t="shared" si="15"/>
        <v>-1194400</v>
      </c>
      <c r="H40" s="210">
        <f t="shared" si="15"/>
        <v>583028359</v>
      </c>
      <c r="I40" s="210">
        <f t="shared" si="15"/>
        <v>687338870</v>
      </c>
      <c r="J40" s="210">
        <f t="shared" si="15"/>
        <v>0</v>
      </c>
      <c r="K40" s="210">
        <f t="shared" si="15"/>
        <v>71680490</v>
      </c>
      <c r="L40" s="210">
        <f>+L37-L38-L39</f>
        <v>2852453000</v>
      </c>
      <c r="M40" s="210">
        <f>+M37-M38-M39</f>
        <v>2552895000</v>
      </c>
      <c r="N40" s="210">
        <f t="shared" si="15"/>
        <v>30005755968</v>
      </c>
      <c r="O40" s="210">
        <f t="shared" si="15"/>
        <v>25711257450</v>
      </c>
    </row>
    <row r="41" spans="1:15" x14ac:dyDescent="0.2">
      <c r="A41" s="214" t="s">
        <v>65</v>
      </c>
      <c r="B41" s="213">
        <v>4266774000</v>
      </c>
      <c r="C41" s="213">
        <v>564934000</v>
      </c>
      <c r="D41" s="213">
        <v>19719203</v>
      </c>
      <c r="E41" s="213">
        <v>10592148</v>
      </c>
      <c r="F41" s="213">
        <v>601282</v>
      </c>
      <c r="G41" s="213">
        <v>1969680</v>
      </c>
      <c r="H41" s="213">
        <v>101516737</v>
      </c>
      <c r="I41" s="213">
        <v>122625554</v>
      </c>
      <c r="J41" s="213"/>
      <c r="K41" s="213"/>
      <c r="L41" s="213">
        <v>120911000</v>
      </c>
      <c r="M41" s="213">
        <v>316761000</v>
      </c>
      <c r="N41" s="209">
        <f t="shared" ref="N41:N42" si="16">+B41+D41+F41+H41+J41+L41</f>
        <v>4509522222</v>
      </c>
      <c r="O41" s="209">
        <f t="shared" ref="O41:O42" si="17">+C41+E41+G41+I41+K41+M41</f>
        <v>1016882382</v>
      </c>
    </row>
    <row r="42" spans="1:15" x14ac:dyDescent="0.2">
      <c r="A42" s="214" t="s">
        <v>66</v>
      </c>
      <c r="B42" s="213">
        <f>128294000+1995078000</f>
        <v>2123372000</v>
      </c>
      <c r="C42" s="213">
        <f>330128000+1101071000</f>
        <v>1431199000</v>
      </c>
      <c r="D42" s="213">
        <v>38008714</v>
      </c>
      <c r="E42" s="213">
        <v>61899442</v>
      </c>
      <c r="F42" s="213">
        <f>573703+211863</f>
        <v>785566</v>
      </c>
      <c r="G42" s="213">
        <f>836901+82339</f>
        <v>919240</v>
      </c>
      <c r="H42" s="213">
        <v>220871653</v>
      </c>
      <c r="I42" s="213">
        <v>190167858</v>
      </c>
      <c r="J42" s="213"/>
      <c r="K42" s="213"/>
      <c r="L42" s="213">
        <f>32415000+327064000</f>
        <v>359479000</v>
      </c>
      <c r="M42" s="213">
        <f>399163000+101150000</f>
        <v>500313000</v>
      </c>
      <c r="N42" s="209">
        <f t="shared" si="16"/>
        <v>2742516933</v>
      </c>
      <c r="O42" s="209">
        <f t="shared" si="17"/>
        <v>2184498540</v>
      </c>
    </row>
    <row r="43" spans="1:15" s="224" customFormat="1" x14ac:dyDescent="0.2">
      <c r="A43" s="223" t="s">
        <v>67</v>
      </c>
      <c r="B43" s="210">
        <f t="shared" ref="B43:O43" si="18">+B40+B41-B42</f>
        <v>28461667000</v>
      </c>
      <c r="C43" s="210">
        <f t="shared" si="18"/>
        <v>21088435000</v>
      </c>
      <c r="D43" s="210">
        <f t="shared" si="18"/>
        <v>217973286</v>
      </c>
      <c r="E43" s="210">
        <f t="shared" si="18"/>
        <v>394530196</v>
      </c>
      <c r="F43" s="210">
        <f t="shared" si="18"/>
        <v>15562528</v>
      </c>
      <c r="G43" s="210">
        <f t="shared" si="18"/>
        <v>-143960</v>
      </c>
      <c r="H43" s="210">
        <f t="shared" si="18"/>
        <v>463673443</v>
      </c>
      <c r="I43" s="210">
        <f t="shared" si="18"/>
        <v>619796566</v>
      </c>
      <c r="J43" s="210">
        <f t="shared" si="18"/>
        <v>0</v>
      </c>
      <c r="K43" s="210">
        <f t="shared" si="18"/>
        <v>71680490</v>
      </c>
      <c r="L43" s="210">
        <f>+L40+L41-L42</f>
        <v>2613885000</v>
      </c>
      <c r="M43" s="210">
        <f>+M40+M41-M42</f>
        <v>2369343000</v>
      </c>
      <c r="N43" s="210">
        <f t="shared" si="18"/>
        <v>31772761257</v>
      </c>
      <c r="O43" s="210">
        <f t="shared" si="18"/>
        <v>24543641292</v>
      </c>
    </row>
    <row r="44" spans="1:15" x14ac:dyDescent="0.2">
      <c r="A44" s="214" t="s">
        <v>68</v>
      </c>
      <c r="B44" s="235">
        <v>-10462040000</v>
      </c>
      <c r="C44" s="235">
        <v>-8031799000</v>
      </c>
      <c r="D44" s="235">
        <v>-86651000</v>
      </c>
      <c r="E44" s="235">
        <v>-150763000</v>
      </c>
      <c r="F44" s="235">
        <v>-6138471</v>
      </c>
      <c r="G44" s="235">
        <v>-1020007</v>
      </c>
      <c r="H44" s="235">
        <v>-182235000</v>
      </c>
      <c r="I44" s="235">
        <v>-229213000</v>
      </c>
      <c r="J44" s="235"/>
      <c r="K44" s="235"/>
      <c r="L44" s="235">
        <v>-570262000</v>
      </c>
      <c r="M44" s="235">
        <v>-442592000</v>
      </c>
      <c r="N44" s="209">
        <f t="shared" ref="N44" si="19">+B44+D44+F44+H44+J44+L44</f>
        <v>-11307326471</v>
      </c>
      <c r="O44" s="209">
        <f t="shared" ref="O44" si="20">+C44+E44+G44+I44+K44+M44</f>
        <v>-8855387007</v>
      </c>
    </row>
    <row r="45" spans="1:15" s="224" customFormat="1" x14ac:dyDescent="0.2">
      <c r="A45" s="223" t="s">
        <v>69</v>
      </c>
      <c r="B45" s="210">
        <f t="shared" ref="B45:O45" si="21">+B43+B44</f>
        <v>17999627000</v>
      </c>
      <c r="C45" s="210">
        <f t="shared" si="21"/>
        <v>13056636000</v>
      </c>
      <c r="D45" s="210">
        <f t="shared" si="21"/>
        <v>131322286</v>
      </c>
      <c r="E45" s="210">
        <f t="shared" si="21"/>
        <v>243767196</v>
      </c>
      <c r="F45" s="210">
        <f t="shared" si="21"/>
        <v>9424057</v>
      </c>
      <c r="G45" s="210">
        <f t="shared" si="21"/>
        <v>-1163967</v>
      </c>
      <c r="H45" s="210">
        <f t="shared" si="21"/>
        <v>281438443</v>
      </c>
      <c r="I45" s="210">
        <f t="shared" si="21"/>
        <v>390583566</v>
      </c>
      <c r="J45" s="210">
        <f t="shared" si="21"/>
        <v>0</v>
      </c>
      <c r="K45" s="210">
        <f t="shared" si="21"/>
        <v>71680490</v>
      </c>
      <c r="L45" s="210">
        <f>+L43+L44</f>
        <v>2043623000</v>
      </c>
      <c r="M45" s="210">
        <f>+M43+M44</f>
        <v>1926751000</v>
      </c>
      <c r="N45" s="210">
        <f t="shared" si="21"/>
        <v>20465434786</v>
      </c>
      <c r="O45" s="210">
        <f t="shared" si="21"/>
        <v>15688254285</v>
      </c>
    </row>
    <row r="46" spans="1:15" x14ac:dyDescent="0.2">
      <c r="A46" s="214" t="s">
        <v>98</v>
      </c>
      <c r="B46" s="235"/>
      <c r="C46" s="235"/>
      <c r="D46" s="235"/>
      <c r="E46" s="235"/>
      <c r="F46" s="235"/>
      <c r="G46" s="235"/>
      <c r="H46" s="235"/>
      <c r="I46" s="235"/>
      <c r="J46" s="235"/>
      <c r="K46" s="235"/>
      <c r="L46" s="235"/>
      <c r="M46" s="235"/>
      <c r="N46" s="209">
        <f t="shared" ref="N46" si="22">+B46+D46+F46+H46+J46+L46</f>
        <v>0</v>
      </c>
      <c r="O46" s="209">
        <f t="shared" ref="O46" si="23">+C46+E46+G46+I46+K46+M46</f>
        <v>0</v>
      </c>
    </row>
    <row r="47" spans="1:15" s="224" customFormat="1" x14ac:dyDescent="0.2">
      <c r="A47" s="223" t="s">
        <v>183</v>
      </c>
      <c r="B47" s="210">
        <f t="shared" ref="B47:K47" si="24">+B45+B46</f>
        <v>17999627000</v>
      </c>
      <c r="C47" s="210">
        <f t="shared" si="24"/>
        <v>13056636000</v>
      </c>
      <c r="D47" s="210">
        <f t="shared" si="24"/>
        <v>131322286</v>
      </c>
      <c r="E47" s="210">
        <f t="shared" si="24"/>
        <v>243767196</v>
      </c>
      <c r="F47" s="210">
        <f t="shared" si="24"/>
        <v>9424057</v>
      </c>
      <c r="G47" s="210">
        <f t="shared" si="24"/>
        <v>-1163967</v>
      </c>
      <c r="H47" s="210">
        <f t="shared" si="24"/>
        <v>281438443</v>
      </c>
      <c r="I47" s="210">
        <f t="shared" si="24"/>
        <v>390583566</v>
      </c>
      <c r="J47" s="210">
        <f t="shared" si="24"/>
        <v>0</v>
      </c>
      <c r="K47" s="210">
        <f t="shared" si="24"/>
        <v>71680490</v>
      </c>
      <c r="L47" s="210">
        <f>+L45+L46</f>
        <v>2043623000</v>
      </c>
      <c r="M47" s="210">
        <f>+M45+M46</f>
        <v>1926751000</v>
      </c>
      <c r="N47" s="210">
        <f>+N45+N46</f>
        <v>20465434786</v>
      </c>
      <c r="O47" s="210">
        <f>+O45+O46</f>
        <v>15688254285</v>
      </c>
    </row>
    <row r="48" spans="1:15" s="216" customFormat="1" x14ac:dyDescent="0.2">
      <c r="A48" s="238"/>
      <c r="B48" s="240"/>
      <c r="C48" s="240"/>
      <c r="D48" s="240"/>
      <c r="E48" s="240"/>
      <c r="F48" s="240"/>
      <c r="G48" s="240"/>
      <c r="H48" s="240"/>
      <c r="I48" s="240"/>
      <c r="J48" s="240"/>
      <c r="K48" s="240"/>
      <c r="L48" s="240"/>
      <c r="M48" s="240"/>
      <c r="N48" s="240"/>
      <c r="O48" s="240"/>
    </row>
    <row r="49" spans="1:15" s="216" customFormat="1" x14ac:dyDescent="0.2">
      <c r="A49" s="238" t="s">
        <v>99</v>
      </c>
      <c r="B49" s="241">
        <f t="shared" ref="B49:N49" si="25">+B12-B33</f>
        <v>0</v>
      </c>
      <c r="C49" s="241">
        <f t="shared" si="25"/>
        <v>0</v>
      </c>
      <c r="D49" s="241">
        <f t="shared" si="25"/>
        <v>0</v>
      </c>
      <c r="E49" s="241">
        <f t="shared" si="25"/>
        <v>0</v>
      </c>
      <c r="F49" s="241">
        <f t="shared" si="25"/>
        <v>0</v>
      </c>
      <c r="G49" s="241">
        <f t="shared" si="25"/>
        <v>0</v>
      </c>
      <c r="H49" s="241">
        <f t="shared" si="25"/>
        <v>0</v>
      </c>
      <c r="I49" s="241">
        <f t="shared" si="25"/>
        <v>0</v>
      </c>
      <c r="J49" s="241">
        <f t="shared" si="25"/>
        <v>0</v>
      </c>
      <c r="K49" s="241">
        <f t="shared" si="25"/>
        <v>0</v>
      </c>
      <c r="L49" s="241">
        <f>+L12-L33</f>
        <v>0</v>
      </c>
      <c r="M49" s="241">
        <f>+M12-M33</f>
        <v>0</v>
      </c>
      <c r="N49" s="241">
        <f t="shared" si="25"/>
        <v>0</v>
      </c>
      <c r="O49" s="241">
        <f>+O12-O33</f>
        <v>0</v>
      </c>
    </row>
    <row r="50" spans="1:15" s="216" customFormat="1" x14ac:dyDescent="0.2">
      <c r="A50" s="238" t="s">
        <v>100</v>
      </c>
      <c r="B50" s="241">
        <v>17999627000</v>
      </c>
      <c r="C50" s="241">
        <v>13056636000</v>
      </c>
      <c r="D50" s="241">
        <v>131322286</v>
      </c>
      <c r="E50" s="241">
        <v>243767196</v>
      </c>
      <c r="F50" s="241">
        <v>9424057</v>
      </c>
      <c r="G50" s="241">
        <v>-1163967</v>
      </c>
      <c r="H50" s="241">
        <v>281438443</v>
      </c>
      <c r="I50" s="241">
        <v>390583566</v>
      </c>
      <c r="J50" s="241"/>
      <c r="K50" s="241">
        <v>71680490</v>
      </c>
      <c r="L50" s="241">
        <v>2043623000</v>
      </c>
      <c r="M50" s="241">
        <v>1926751000</v>
      </c>
      <c r="N50" s="241">
        <v>20465434786</v>
      </c>
      <c r="O50" s="241">
        <v>15688254285</v>
      </c>
    </row>
    <row r="51" spans="1:15" s="216" customFormat="1" x14ac:dyDescent="0.2">
      <c r="A51" s="238" t="s">
        <v>101</v>
      </c>
      <c r="B51" s="241">
        <f t="shared" ref="B51:O51" si="26">+B45-B50</f>
        <v>0</v>
      </c>
      <c r="C51" s="241">
        <f t="shared" si="26"/>
        <v>0</v>
      </c>
      <c r="D51" s="241">
        <f t="shared" si="26"/>
        <v>0</v>
      </c>
      <c r="E51" s="241">
        <f t="shared" si="26"/>
        <v>0</v>
      </c>
      <c r="F51" s="241">
        <f t="shared" si="26"/>
        <v>0</v>
      </c>
      <c r="G51" s="241">
        <f t="shared" si="26"/>
        <v>0</v>
      </c>
      <c r="H51" s="241">
        <f t="shared" si="26"/>
        <v>0</v>
      </c>
      <c r="I51" s="241">
        <f t="shared" si="26"/>
        <v>0</v>
      </c>
      <c r="J51" s="241">
        <f t="shared" si="26"/>
        <v>0</v>
      </c>
      <c r="K51" s="241">
        <f t="shared" si="26"/>
        <v>0</v>
      </c>
      <c r="L51" s="241">
        <f>+L45-L50</f>
        <v>0</v>
      </c>
      <c r="M51" s="241">
        <f>+M45-M50</f>
        <v>0</v>
      </c>
      <c r="N51" s="241">
        <f t="shared" si="26"/>
        <v>0</v>
      </c>
      <c r="O51" s="241">
        <f t="shared" si="26"/>
        <v>0</v>
      </c>
    </row>
    <row r="53" spans="1:15" s="238" customFormat="1" x14ac:dyDescent="0.2">
      <c r="B53" s="243"/>
      <c r="C53" s="243"/>
      <c r="D53" s="232"/>
      <c r="E53" s="232"/>
      <c r="F53" s="232"/>
      <c r="G53" s="232"/>
      <c r="H53" s="232"/>
      <c r="I53" s="232"/>
      <c r="J53" s="232"/>
      <c r="K53" s="232"/>
      <c r="L53" s="232"/>
      <c r="M53" s="232"/>
      <c r="N53" s="232"/>
      <c r="O53" s="232"/>
    </row>
    <row r="54" spans="1:15" s="238" customFormat="1" x14ac:dyDescent="0.2">
      <c r="B54" s="232"/>
      <c r="C54" s="232"/>
      <c r="D54" s="232"/>
      <c r="E54" s="232"/>
      <c r="F54" s="232"/>
      <c r="G54" s="232"/>
      <c r="H54" s="232"/>
      <c r="I54" s="232"/>
      <c r="J54" s="232"/>
      <c r="K54" s="232"/>
      <c r="L54" s="232"/>
      <c r="M54" s="232"/>
      <c r="N54" s="232"/>
      <c r="O54" s="232"/>
    </row>
    <row r="55" spans="1:15" s="216" customFormat="1" ht="15" x14ac:dyDescent="0.2">
      <c r="A55" s="306" t="s">
        <v>196</v>
      </c>
      <c r="B55" s="214"/>
      <c r="C55" s="214"/>
      <c r="D55" s="214"/>
      <c r="E55" s="214"/>
      <c r="F55" s="214"/>
      <c r="G55" s="214"/>
      <c r="H55" s="214"/>
      <c r="I55" s="214"/>
      <c r="J55" s="214"/>
      <c r="K55" s="214"/>
      <c r="L55" s="214"/>
      <c r="M55" s="214"/>
      <c r="N55" s="214"/>
      <c r="O55" s="214"/>
    </row>
    <row r="57" spans="1:15" x14ac:dyDescent="0.2">
      <c r="A57" s="207" t="s">
        <v>105</v>
      </c>
      <c r="B57" s="207"/>
      <c r="C57" s="207"/>
      <c r="D57" s="207"/>
      <c r="E57" s="207"/>
      <c r="F57" s="207"/>
      <c r="G57" s="207"/>
      <c r="H57" s="207"/>
      <c r="I57" s="207"/>
      <c r="J57" s="207"/>
      <c r="K57" s="207"/>
      <c r="L57" s="207"/>
      <c r="M57" s="207"/>
      <c r="N57" s="207"/>
      <c r="O57" s="207"/>
    </row>
    <row r="58" spans="1:15" ht="24" x14ac:dyDescent="0.2">
      <c r="A58" s="249" t="s">
        <v>195</v>
      </c>
      <c r="B58" s="206">
        <f t="shared" ref="B58:O58" si="27">IFERROR(B10/B14,0)</f>
        <v>1.2378714559988151</v>
      </c>
      <c r="C58" s="206">
        <f t="shared" si="27"/>
        <v>1.2028216398347855</v>
      </c>
      <c r="D58" s="206">
        <f t="shared" si="27"/>
        <v>3.44768059231275</v>
      </c>
      <c r="E58" s="206">
        <f t="shared" si="27"/>
        <v>2.7501229768798821</v>
      </c>
      <c r="F58" s="206">
        <f t="shared" si="27"/>
        <v>1.6217979820944091</v>
      </c>
      <c r="G58" s="206">
        <f t="shared" si="27"/>
        <v>1.8709925359421855</v>
      </c>
      <c r="H58" s="206">
        <f t="shared" si="27"/>
        <v>1.7128889896336945</v>
      </c>
      <c r="I58" s="206">
        <f t="shared" si="27"/>
        <v>1.8018164433173922</v>
      </c>
      <c r="J58" s="206">
        <f t="shared" si="27"/>
        <v>0</v>
      </c>
      <c r="K58" s="206">
        <f t="shared" si="27"/>
        <v>1.3217066717066717</v>
      </c>
      <c r="L58" s="206">
        <f t="shared" si="27"/>
        <v>1.595489594185336</v>
      </c>
      <c r="M58" s="206">
        <f t="shared" si="27"/>
        <v>1.5857231602326682</v>
      </c>
      <c r="N58" s="206">
        <f t="shared" si="27"/>
        <v>1.2975404817578922</v>
      </c>
      <c r="O58" s="206">
        <f t="shared" si="27"/>
        <v>1.2844285329034539</v>
      </c>
    </row>
    <row r="59" spans="1:15" x14ac:dyDescent="0.2">
      <c r="A59" s="207" t="s">
        <v>106</v>
      </c>
      <c r="B59" s="208"/>
      <c r="C59" s="208"/>
      <c r="D59" s="208"/>
      <c r="E59" s="208"/>
      <c r="F59" s="208"/>
      <c r="G59" s="208"/>
      <c r="H59" s="208"/>
      <c r="I59" s="208"/>
      <c r="J59" s="208"/>
      <c r="K59" s="208"/>
      <c r="L59" s="208"/>
      <c r="M59" s="208"/>
      <c r="N59" s="208"/>
      <c r="O59" s="208"/>
    </row>
    <row r="60" spans="1:15" x14ac:dyDescent="0.2">
      <c r="A60" s="96" t="s">
        <v>74</v>
      </c>
      <c r="B60" s="87">
        <f t="shared" ref="B60:O60" si="28">IFERROR(B14/B16,0)</f>
        <v>0.53794090699992259</v>
      </c>
      <c r="C60" s="87">
        <f t="shared" si="28"/>
        <v>0.62882122517952399</v>
      </c>
      <c r="D60" s="87">
        <f t="shared" si="28"/>
        <v>1</v>
      </c>
      <c r="E60" s="87">
        <f t="shared" si="28"/>
        <v>1</v>
      </c>
      <c r="F60" s="87">
        <f t="shared" si="28"/>
        <v>0.99813027684577471</v>
      </c>
      <c r="G60" s="87">
        <f t="shared" si="28"/>
        <v>0.91839317755404803</v>
      </c>
      <c r="H60" s="87">
        <f t="shared" si="28"/>
        <v>0.86300157527165311</v>
      </c>
      <c r="I60" s="87">
        <f t="shared" si="28"/>
        <v>1</v>
      </c>
      <c r="J60" s="87">
        <f t="shared" si="28"/>
        <v>0</v>
      </c>
      <c r="K60" s="87">
        <f t="shared" si="28"/>
        <v>1</v>
      </c>
      <c r="L60" s="87">
        <f t="shared" si="28"/>
        <v>0.74640020259033435</v>
      </c>
      <c r="M60" s="87">
        <f t="shared" si="28"/>
        <v>0.6971376219277241</v>
      </c>
      <c r="N60" s="87">
        <f t="shared" si="28"/>
        <v>0.56168148991988942</v>
      </c>
      <c r="O60" s="87">
        <f t="shared" si="28"/>
        <v>0.64590214659837075</v>
      </c>
    </row>
    <row r="61" spans="1:15" x14ac:dyDescent="0.2">
      <c r="A61" s="96" t="s">
        <v>75</v>
      </c>
      <c r="B61" s="86">
        <f t="shared" ref="B61:O61" si="29">IFERROR(B16/B32,0)</f>
        <v>1.6957958460733156</v>
      </c>
      <c r="C61" s="86">
        <f t="shared" si="29"/>
        <v>1.3075621024169346</v>
      </c>
      <c r="D61" s="86">
        <f t="shared" si="29"/>
        <v>0.39550879324723448</v>
      </c>
      <c r="E61" s="86">
        <f t="shared" si="29"/>
        <v>0.51331170380713254</v>
      </c>
      <c r="F61" s="86">
        <f t="shared" si="29"/>
        <v>0.62820151896260978</v>
      </c>
      <c r="G61" s="86">
        <f t="shared" si="29"/>
        <v>0.40129649439223403</v>
      </c>
      <c r="H61" s="86">
        <f t="shared" si="29"/>
        <v>1.1081202878118965</v>
      </c>
      <c r="I61" s="86">
        <f t="shared" si="29"/>
        <v>0.74476267603653401</v>
      </c>
      <c r="J61" s="86">
        <f t="shared" si="29"/>
        <v>0</v>
      </c>
      <c r="K61" s="86">
        <f t="shared" si="29"/>
        <v>9.1299459985522538E-2</v>
      </c>
      <c r="L61" s="86">
        <f t="shared" si="29"/>
        <v>0.71964693465782026</v>
      </c>
      <c r="M61" s="86">
        <f t="shared" si="29"/>
        <v>0.90347394364525424</v>
      </c>
      <c r="N61" s="86">
        <f t="shared" si="29"/>
        <v>1.4998725949679665</v>
      </c>
      <c r="O61" s="86">
        <f t="shared" si="29"/>
        <v>1.1790198743575417</v>
      </c>
    </row>
    <row r="62" spans="1:15" x14ac:dyDescent="0.2">
      <c r="A62" s="97" t="s">
        <v>76</v>
      </c>
      <c r="B62" s="86">
        <f t="shared" ref="B62:O62" si="30">IFERROR(B15/B32,0)</f>
        <v>0.78355789054993508</v>
      </c>
      <c r="C62" s="86">
        <f t="shared" si="30"/>
        <v>0.48533929917680352</v>
      </c>
      <c r="D62" s="86">
        <f t="shared" si="30"/>
        <v>0</v>
      </c>
      <c r="E62" s="86">
        <f t="shared" si="30"/>
        <v>0</v>
      </c>
      <c r="F62" s="86">
        <f t="shared" si="30"/>
        <v>1.1745629255238688E-3</v>
      </c>
      <c r="G62" s="86">
        <f t="shared" si="30"/>
        <v>3.2748531766050006E-2</v>
      </c>
      <c r="H62" s="86">
        <f t="shared" si="30"/>
        <v>0.15181073383975219</v>
      </c>
      <c r="I62" s="86">
        <f t="shared" si="30"/>
        <v>0</v>
      </c>
      <c r="J62" s="86">
        <f t="shared" si="30"/>
        <v>0</v>
      </c>
      <c r="K62" s="86">
        <f t="shared" si="30"/>
        <v>0</v>
      </c>
      <c r="L62" s="86">
        <f t="shared" si="30"/>
        <v>0.18250231683571011</v>
      </c>
      <c r="M62" s="86">
        <f t="shared" si="30"/>
        <v>0.27362826709873905</v>
      </c>
      <c r="N62" s="86">
        <f t="shared" si="30"/>
        <v>0.65742192113634834</v>
      </c>
      <c r="O62" s="86">
        <f t="shared" si="30"/>
        <v>0.41748840662786418</v>
      </c>
    </row>
    <row r="63" spans="1:15" x14ac:dyDescent="0.2">
      <c r="A63" s="96" t="s">
        <v>77</v>
      </c>
      <c r="B63" s="86">
        <f t="shared" ref="B63:O63" si="31">IFERROR(B16/B12,0)</f>
        <v>0.62905202875188204</v>
      </c>
      <c r="C63" s="86">
        <f t="shared" si="31"/>
        <v>0.56664221562981876</v>
      </c>
      <c r="D63" s="86">
        <f t="shared" si="31"/>
        <v>0.28341547911490972</v>
      </c>
      <c r="E63" s="86">
        <f t="shared" si="31"/>
        <v>0.33919760384840897</v>
      </c>
      <c r="F63" s="86">
        <f t="shared" si="31"/>
        <v>0.38582541021265065</v>
      </c>
      <c r="G63" s="86">
        <f t="shared" si="31"/>
        <v>0.28637515043972411</v>
      </c>
      <c r="H63" s="86">
        <f t="shared" si="31"/>
        <v>0.52564376625873632</v>
      </c>
      <c r="I63" s="86">
        <f t="shared" si="31"/>
        <v>0.42685614855560977</v>
      </c>
      <c r="J63" s="86">
        <f t="shared" si="31"/>
        <v>0</v>
      </c>
      <c r="K63" s="86">
        <f t="shared" si="31"/>
        <v>8.3661234457802935E-2</v>
      </c>
      <c r="L63" s="86">
        <f t="shared" si="31"/>
        <v>0.41848528331835594</v>
      </c>
      <c r="M63" s="86">
        <f t="shared" si="31"/>
        <v>0.47464476551491608</v>
      </c>
      <c r="N63" s="86">
        <f t="shared" si="31"/>
        <v>0.59997961415597101</v>
      </c>
      <c r="O63" s="86">
        <f t="shared" si="31"/>
        <v>0.54107807286758314</v>
      </c>
    </row>
    <row r="64" spans="1:15" x14ac:dyDescent="0.2">
      <c r="A64" s="207" t="s">
        <v>107</v>
      </c>
      <c r="B64" s="208"/>
      <c r="C64" s="208"/>
      <c r="D64" s="208"/>
      <c r="E64" s="208"/>
      <c r="F64" s="208"/>
      <c r="G64" s="208"/>
      <c r="H64" s="208"/>
      <c r="I64" s="208"/>
      <c r="J64" s="208"/>
      <c r="K64" s="208"/>
      <c r="L64" s="208"/>
      <c r="M64" s="208"/>
      <c r="N64" s="208"/>
      <c r="O64" s="208"/>
    </row>
    <row r="65" spans="1:15" x14ac:dyDescent="0.2">
      <c r="A65" s="96" t="s">
        <v>79</v>
      </c>
      <c r="B65" s="86">
        <f t="shared" ref="B65:O65" si="32">IFERROR(B12/B16,0)</f>
        <v>1.5896936251586773</v>
      </c>
      <c r="C65" s="86">
        <f t="shared" si="32"/>
        <v>1.7647820307361095</v>
      </c>
      <c r="D65" s="86">
        <f t="shared" si="32"/>
        <v>3.528388792041079</v>
      </c>
      <c r="E65" s="86">
        <f t="shared" si="32"/>
        <v>2.9481340335378978</v>
      </c>
      <c r="F65" s="86">
        <f t="shared" si="32"/>
        <v>2.5918458803655318</v>
      </c>
      <c r="G65" s="86">
        <f t="shared" si="32"/>
        <v>3.4919230892223618</v>
      </c>
      <c r="H65" s="86">
        <f t="shared" si="32"/>
        <v>1.9024291053948739</v>
      </c>
      <c r="I65" s="86">
        <f t="shared" si="32"/>
        <v>2.3427096069338273</v>
      </c>
      <c r="J65" s="86">
        <f t="shared" si="32"/>
        <v>0</v>
      </c>
      <c r="K65" s="86">
        <f t="shared" si="32"/>
        <v>11.952967302967304</v>
      </c>
      <c r="L65" s="86">
        <f t="shared" si="32"/>
        <v>2.3895702904306582</v>
      </c>
      <c r="M65" s="86">
        <f t="shared" si="32"/>
        <v>2.1068387827160695</v>
      </c>
      <c r="N65" s="86">
        <f t="shared" si="32"/>
        <v>1.6667232959352507</v>
      </c>
      <c r="O65" s="86">
        <f t="shared" si="32"/>
        <v>1.8481621232592951</v>
      </c>
    </row>
    <row r="66" spans="1:15" x14ac:dyDescent="0.2">
      <c r="A66" s="96" t="s">
        <v>80</v>
      </c>
      <c r="B66" s="86">
        <f t="shared" ref="B66:O66" si="33">IFERROR(B12/B14,0)</f>
        <v>2.9551454527307515</v>
      </c>
      <c r="C66" s="86">
        <f t="shared" si="33"/>
        <v>2.8064924656960755</v>
      </c>
      <c r="D66" s="86">
        <f t="shared" si="33"/>
        <v>3.528388792041079</v>
      </c>
      <c r="E66" s="86">
        <f t="shared" si="33"/>
        <v>2.9481340335378978</v>
      </c>
      <c r="F66" s="86">
        <f t="shared" si="33"/>
        <v>2.5967009923355016</v>
      </c>
      <c r="G66" s="86">
        <f t="shared" si="33"/>
        <v>3.8022093092224218</v>
      </c>
      <c r="H66" s="86">
        <f t="shared" si="33"/>
        <v>2.2044329464822039</v>
      </c>
      <c r="I66" s="86">
        <f t="shared" si="33"/>
        <v>2.3427096069338273</v>
      </c>
      <c r="J66" s="86">
        <f t="shared" si="33"/>
        <v>0</v>
      </c>
      <c r="K66" s="86">
        <f t="shared" si="33"/>
        <v>11.952967302967304</v>
      </c>
      <c r="L66" s="86">
        <f t="shared" si="33"/>
        <v>3.2014598631375053</v>
      </c>
      <c r="M66" s="86">
        <f t="shared" si="33"/>
        <v>3.0221275060299306</v>
      </c>
      <c r="N66" s="86">
        <f t="shared" si="33"/>
        <v>2.9673815602735449</v>
      </c>
      <c r="O66" s="86">
        <f t="shared" si="33"/>
        <v>2.8613655071323105</v>
      </c>
    </row>
    <row r="67" spans="1:15" x14ac:dyDescent="0.2">
      <c r="A67" s="207" t="s">
        <v>108</v>
      </c>
      <c r="B67" s="208"/>
      <c r="C67" s="208"/>
      <c r="D67" s="208"/>
      <c r="E67" s="208"/>
      <c r="F67" s="208"/>
      <c r="G67" s="208"/>
      <c r="H67" s="208"/>
      <c r="I67" s="208"/>
      <c r="J67" s="208"/>
      <c r="K67" s="208"/>
      <c r="L67" s="208"/>
      <c r="M67" s="208"/>
      <c r="N67" s="208"/>
      <c r="O67" s="208"/>
    </row>
    <row r="68" spans="1:15" x14ac:dyDescent="0.2">
      <c r="A68" s="96" t="s">
        <v>82</v>
      </c>
      <c r="B68" s="86">
        <f t="shared" ref="B68:O68" si="34">IFERROR(B11/B15,0)</f>
        <v>1.9992939114590809</v>
      </c>
      <c r="C68" s="86">
        <f t="shared" si="34"/>
        <v>2.7168101246912304</v>
      </c>
      <c r="D68" s="86">
        <f t="shared" si="34"/>
        <v>0</v>
      </c>
      <c r="E68" s="86">
        <f t="shared" si="34"/>
        <v>0</v>
      </c>
      <c r="F68" s="86">
        <f t="shared" si="34"/>
        <v>520.44079858064765</v>
      </c>
      <c r="G68" s="86">
        <f t="shared" si="34"/>
        <v>21.733676864249603</v>
      </c>
      <c r="H68" s="86">
        <f t="shared" si="34"/>
        <v>3.0964093924194716</v>
      </c>
      <c r="I68" s="86">
        <f t="shared" si="34"/>
        <v>0</v>
      </c>
      <c r="J68" s="86">
        <f t="shared" si="34"/>
        <v>0</v>
      </c>
      <c r="K68" s="86">
        <f t="shared" si="34"/>
        <v>0</v>
      </c>
      <c r="L68" s="86">
        <f t="shared" si="34"/>
        <v>4.7267251249557427</v>
      </c>
      <c r="M68" s="86">
        <f t="shared" si="34"/>
        <v>3.3063582084030978</v>
      </c>
      <c r="N68" s="86">
        <f t="shared" si="34"/>
        <v>2.1398111267048368</v>
      </c>
      <c r="O68" s="86">
        <f t="shared" si="34"/>
        <v>2.8764562307286545</v>
      </c>
    </row>
    <row r="69" spans="1:15" x14ac:dyDescent="0.2">
      <c r="A69" s="96" t="s">
        <v>83</v>
      </c>
      <c r="B69" s="86">
        <f t="shared" ref="B69:O69" si="35">IFERROR(B12/B16,0)</f>
        <v>1.5896936251586773</v>
      </c>
      <c r="C69" s="86">
        <f t="shared" si="35"/>
        <v>1.7647820307361095</v>
      </c>
      <c r="D69" s="86">
        <f t="shared" si="35"/>
        <v>3.528388792041079</v>
      </c>
      <c r="E69" s="86">
        <f t="shared" si="35"/>
        <v>2.9481340335378978</v>
      </c>
      <c r="F69" s="86">
        <f t="shared" si="35"/>
        <v>2.5918458803655318</v>
      </c>
      <c r="G69" s="86">
        <f t="shared" si="35"/>
        <v>3.4919230892223618</v>
      </c>
      <c r="H69" s="86">
        <f t="shared" si="35"/>
        <v>1.9024291053948739</v>
      </c>
      <c r="I69" s="86">
        <f t="shared" si="35"/>
        <v>2.3427096069338273</v>
      </c>
      <c r="J69" s="86">
        <f t="shared" si="35"/>
        <v>0</v>
      </c>
      <c r="K69" s="86">
        <f t="shared" si="35"/>
        <v>11.952967302967304</v>
      </c>
      <c r="L69" s="86">
        <f t="shared" si="35"/>
        <v>2.3895702904306582</v>
      </c>
      <c r="M69" s="86">
        <f t="shared" si="35"/>
        <v>2.1068387827160695</v>
      </c>
      <c r="N69" s="86">
        <f t="shared" si="35"/>
        <v>1.6667232959352507</v>
      </c>
      <c r="O69" s="86">
        <f t="shared" si="35"/>
        <v>1.8481621232592951</v>
      </c>
    </row>
    <row r="70" spans="1:15" x14ac:dyDescent="0.2">
      <c r="A70" s="207" t="s">
        <v>109</v>
      </c>
      <c r="B70" s="208"/>
      <c r="C70" s="208"/>
      <c r="D70" s="208"/>
      <c r="E70" s="208"/>
      <c r="F70" s="208"/>
      <c r="G70" s="208"/>
      <c r="H70" s="208"/>
      <c r="I70" s="208"/>
      <c r="J70" s="208"/>
      <c r="K70" s="208"/>
      <c r="L70" s="208"/>
      <c r="M70" s="208"/>
      <c r="N70" s="208"/>
      <c r="O70" s="208"/>
    </row>
    <row r="71" spans="1:15" x14ac:dyDescent="0.2">
      <c r="A71" s="96" t="s">
        <v>85</v>
      </c>
      <c r="B71" s="86">
        <f t="shared" ref="B71:O71" si="36">IFERROR(B32/B12,0)</f>
        <v>0.3709479712481179</v>
      </c>
      <c r="C71" s="86">
        <f t="shared" si="36"/>
        <v>0.43335778437018124</v>
      </c>
      <c r="D71" s="86">
        <f t="shared" si="36"/>
        <v>0.71658452088509028</v>
      </c>
      <c r="E71" s="86">
        <f t="shared" si="36"/>
        <v>0.66080239615159098</v>
      </c>
      <c r="F71" s="86">
        <f t="shared" si="36"/>
        <v>0.6141745897873494</v>
      </c>
      <c r="G71" s="86">
        <f t="shared" si="36"/>
        <v>0.71362484956027594</v>
      </c>
      <c r="H71" s="86">
        <f t="shared" si="36"/>
        <v>0.47435623374126368</v>
      </c>
      <c r="I71" s="86">
        <f t="shared" si="36"/>
        <v>0.57314385144439017</v>
      </c>
      <c r="J71" s="86">
        <f t="shared" si="36"/>
        <v>0</v>
      </c>
      <c r="K71" s="86">
        <f t="shared" si="36"/>
        <v>0.91633876554219706</v>
      </c>
      <c r="L71" s="86">
        <f t="shared" si="36"/>
        <v>0.58151471668164401</v>
      </c>
      <c r="M71" s="86">
        <f t="shared" si="36"/>
        <v>0.52535523448508392</v>
      </c>
      <c r="N71" s="86">
        <f t="shared" si="36"/>
        <v>0.40002038584402899</v>
      </c>
      <c r="O71" s="86">
        <f t="shared" si="36"/>
        <v>0.45892192713241692</v>
      </c>
    </row>
    <row r="72" spans="1:15" x14ac:dyDescent="0.2">
      <c r="A72" s="207" t="s">
        <v>110</v>
      </c>
      <c r="B72" s="208"/>
      <c r="C72" s="208"/>
      <c r="D72" s="208"/>
      <c r="E72" s="208"/>
      <c r="F72" s="208"/>
      <c r="G72" s="208"/>
      <c r="H72" s="208"/>
      <c r="I72" s="208"/>
      <c r="J72" s="208"/>
      <c r="K72" s="208"/>
      <c r="L72" s="208"/>
      <c r="M72" s="208"/>
      <c r="N72" s="208"/>
      <c r="O72" s="208"/>
    </row>
    <row r="73" spans="1:15" x14ac:dyDescent="0.2">
      <c r="A73" s="96" t="s">
        <v>284</v>
      </c>
      <c r="B73" s="86">
        <f t="shared" ref="B73:O73" si="37">IFERROR(B40/B37,0)</f>
        <v>0.22426991368192051</v>
      </c>
      <c r="C73" s="86">
        <f t="shared" si="37"/>
        <v>0.16622083466833593</v>
      </c>
      <c r="D73" s="86">
        <f t="shared" si="37"/>
        <v>0.2186655182071767</v>
      </c>
      <c r="E73" s="86">
        <f t="shared" si="37"/>
        <v>0.23928502729809703</v>
      </c>
      <c r="F73" s="86">
        <f t="shared" si="37"/>
        <v>0.10846890432093556</v>
      </c>
      <c r="G73" s="86">
        <f t="shared" si="37"/>
        <v>-7.887923386549674E-3</v>
      </c>
      <c r="H73" s="86">
        <f t="shared" si="37"/>
        <v>0.2808474396955426</v>
      </c>
      <c r="I73" s="86">
        <f t="shared" si="37"/>
        <v>0.27066837371660668</v>
      </c>
      <c r="J73" s="86">
        <f t="shared" si="37"/>
        <v>0</v>
      </c>
      <c r="K73" s="86">
        <f t="shared" si="37"/>
        <v>9.0638307826731296E-2</v>
      </c>
      <c r="L73" s="86">
        <f t="shared" si="37"/>
        <v>0.13102993383947323</v>
      </c>
      <c r="M73" s="86">
        <f t="shared" si="37"/>
        <v>9.3552679965765564E-2</v>
      </c>
      <c r="N73" s="86">
        <f t="shared" si="37"/>
        <v>0.21068212332818761</v>
      </c>
      <c r="O73" s="86">
        <f t="shared" si="37"/>
        <v>0.15609569269458443</v>
      </c>
    </row>
    <row r="74" spans="1:15" x14ac:dyDescent="0.2">
      <c r="A74" s="96" t="s">
        <v>88</v>
      </c>
      <c r="B74" s="86">
        <f t="shared" ref="B74:O74" si="38">IFERROR(+B45/B37,0)</f>
        <v>0.15338301341660499</v>
      </c>
      <c r="C74" s="86">
        <f t="shared" si="38"/>
        <v>9.8852862206299463E-2</v>
      </c>
      <c r="D74" s="86">
        <f t="shared" si="38"/>
        <v>0.12154116553670134</v>
      </c>
      <c r="E74" s="86">
        <f t="shared" si="38"/>
        <v>0.13083206652101098</v>
      </c>
      <c r="F74" s="86">
        <f t="shared" si="38"/>
        <v>6.4915815153444592E-2</v>
      </c>
      <c r="G74" s="86">
        <f t="shared" si="38"/>
        <v>-7.6869411591360213E-3</v>
      </c>
      <c r="H74" s="86">
        <f t="shared" si="38"/>
        <v>0.13557019127512099</v>
      </c>
      <c r="I74" s="86">
        <f t="shared" si="38"/>
        <v>0.15380858441725098</v>
      </c>
      <c r="J74" s="86">
        <f t="shared" si="38"/>
        <v>0</v>
      </c>
      <c r="K74" s="86">
        <f t="shared" si="38"/>
        <v>9.0638307826731296E-2</v>
      </c>
      <c r="L74" s="86">
        <f t="shared" si="38"/>
        <v>9.3875617401172173E-2</v>
      </c>
      <c r="M74" s="86">
        <f t="shared" si="38"/>
        <v>7.0607181132290503E-2</v>
      </c>
      <c r="N74" s="86">
        <f t="shared" si="38"/>
        <v>0.14369580490314254</v>
      </c>
      <c r="O74" s="86">
        <f t="shared" si="38"/>
        <v>9.5245007932735604E-2</v>
      </c>
    </row>
    <row r="75" spans="1:15" x14ac:dyDescent="0.2">
      <c r="A75" s="207" t="s">
        <v>89</v>
      </c>
      <c r="B75" s="208"/>
      <c r="C75" s="208"/>
      <c r="D75" s="208"/>
      <c r="E75" s="208"/>
      <c r="F75" s="208"/>
      <c r="G75" s="208"/>
      <c r="H75" s="208"/>
      <c r="I75" s="208"/>
      <c r="J75" s="208"/>
      <c r="K75" s="208"/>
      <c r="L75" s="208"/>
      <c r="M75" s="208"/>
      <c r="N75" s="208"/>
      <c r="O75" s="208"/>
    </row>
    <row r="76" spans="1:15" ht="24" x14ac:dyDescent="0.2">
      <c r="A76" s="204" t="s">
        <v>194</v>
      </c>
      <c r="B76" s="205">
        <f>B10-B14</f>
        <v>7009210000</v>
      </c>
      <c r="C76" s="205">
        <f t="shared" ref="C76:O76" si="39">C10-C14</f>
        <v>5510811000</v>
      </c>
      <c r="D76" s="205">
        <f t="shared" si="39"/>
        <v>313127108</v>
      </c>
      <c r="E76" s="205">
        <f t="shared" si="39"/>
        <v>316419105</v>
      </c>
      <c r="F76" s="205">
        <f t="shared" si="39"/>
        <v>34051041</v>
      </c>
      <c r="G76" s="205">
        <f t="shared" si="39"/>
        <v>26990524</v>
      </c>
      <c r="H76" s="205">
        <f t="shared" si="39"/>
        <v>551187720</v>
      </c>
      <c r="I76" s="205">
        <f t="shared" si="39"/>
        <v>550750184</v>
      </c>
      <c r="J76" s="205">
        <f t="shared" si="39"/>
        <v>0</v>
      </c>
      <c r="K76" s="205">
        <f t="shared" si="39"/>
        <v>34043000</v>
      </c>
      <c r="L76" s="205">
        <f>L10-L14</f>
        <v>2286976000</v>
      </c>
      <c r="M76" s="205">
        <f>M10-M14</f>
        <v>3061483000</v>
      </c>
      <c r="N76" s="205">
        <f t="shared" si="39"/>
        <v>10194551869</v>
      </c>
      <c r="O76" s="205">
        <f t="shared" si="39"/>
        <v>9500496813</v>
      </c>
    </row>
    <row r="77" spans="1:15" x14ac:dyDescent="0.2">
      <c r="A77" s="207" t="s">
        <v>219</v>
      </c>
      <c r="B77" s="208"/>
      <c r="C77" s="208"/>
      <c r="D77" s="208"/>
      <c r="E77" s="208"/>
      <c r="F77" s="208"/>
      <c r="G77" s="208"/>
      <c r="H77" s="208"/>
      <c r="I77" s="208"/>
      <c r="J77" s="208"/>
      <c r="K77" s="208"/>
      <c r="L77" s="208"/>
      <c r="M77" s="208"/>
      <c r="N77" s="208"/>
      <c r="O77" s="208"/>
    </row>
    <row r="78" spans="1:15" x14ac:dyDescent="0.2">
      <c r="A78" s="96" t="s">
        <v>220</v>
      </c>
      <c r="B78" s="86"/>
      <c r="C78" s="86">
        <f>IFERROR(C12/B12-1,"")</f>
        <v>-0.12429162183587639</v>
      </c>
      <c r="D78" s="86"/>
      <c r="E78" s="86">
        <f>IFERROR(E12/D12-1,"")</f>
        <v>0.18086159705872329</v>
      </c>
      <c r="F78" s="86"/>
      <c r="G78" s="86">
        <f>IFERROR(G12/F12-1,"")</f>
        <v>-0.17142872232149164</v>
      </c>
      <c r="H78" s="86"/>
      <c r="I78" s="86">
        <f>IFERROR(I12/H12-1,"")</f>
        <v>-5.5887751921381512E-2</v>
      </c>
      <c r="J78" s="86"/>
      <c r="K78" s="86" t="str">
        <f>IFERROR(K12/J12-1,"")</f>
        <v/>
      </c>
      <c r="L78" s="86"/>
      <c r="M78" s="86">
        <f>IFERROR(M12/L12-1,"")</f>
        <v>0.28474444126434095</v>
      </c>
      <c r="N78" s="86"/>
      <c r="O78" s="86">
        <f>IFERROR(O12/N12-1,"")</f>
        <v>-5.9949853623947003E-2</v>
      </c>
    </row>
    <row r="79" spans="1:15" x14ac:dyDescent="0.2">
      <c r="A79" s="96" t="s">
        <v>221</v>
      </c>
      <c r="B79" s="86"/>
      <c r="C79" s="86">
        <f>IFERROR(C16/B16-1,"")</f>
        <v>-0.21117282360083389</v>
      </c>
      <c r="D79" s="86"/>
      <c r="E79" s="86">
        <f>IFERROR(E16/D16-1,"")</f>
        <v>0.41327998544682432</v>
      </c>
      <c r="F79" s="86"/>
      <c r="G79" s="86">
        <f>IFERROR(G16/F16-1,"")</f>
        <v>-0.3850010444764711</v>
      </c>
      <c r="H79" s="86"/>
      <c r="I79" s="86">
        <f>IFERROR(I16/H16-1,"")</f>
        <v>-0.23332084600305192</v>
      </c>
      <c r="J79" s="86"/>
      <c r="K79" s="86" t="str">
        <f>IFERROR(K16/J16-1,"")</f>
        <v/>
      </c>
      <c r="L79" s="86"/>
      <c r="M79" s="86">
        <f>IFERROR(M16/L16-1,"")</f>
        <v>0.45715332982596557</v>
      </c>
      <c r="N79" s="86"/>
      <c r="O79" s="86">
        <f>IFERROR(O16/N16-1,"")</f>
        <v>-0.15223699339254926</v>
      </c>
    </row>
    <row r="80" spans="1:15" x14ac:dyDescent="0.2">
      <c r="A80" s="96" t="s">
        <v>222</v>
      </c>
      <c r="B80" s="86"/>
      <c r="C80" s="86">
        <f>IFERROR(C32/B32-1,"")</f>
        <v>2.3041159218996077E-2</v>
      </c>
      <c r="D80" s="86"/>
      <c r="E80" s="86">
        <f>IFERROR(E32/D32-1,"")</f>
        <v>8.8938080738878433E-2</v>
      </c>
      <c r="F80" s="86"/>
      <c r="G80" s="86">
        <f>IFERROR(G32/F32-1,"")</f>
        <v>-3.7262265135361683E-2</v>
      </c>
      <c r="H80" s="86"/>
      <c r="I80" s="86">
        <f>IFERROR(I32/H32-1,"")</f>
        <v>0.14072945935975434</v>
      </c>
      <c r="J80" s="86"/>
      <c r="K80" s="86" t="str">
        <f>IFERROR(K32/J32-1,"")</f>
        <v/>
      </c>
      <c r="L80" s="86"/>
      <c r="M80" s="86">
        <f>IFERROR(M32/L32-1,"")</f>
        <v>0.16067091310320603</v>
      </c>
      <c r="N80" s="86"/>
      <c r="O80" s="86">
        <f>IFERROR(O32/N32-1,"")</f>
        <v>7.8469098182957886E-2</v>
      </c>
    </row>
    <row r="81" spans="1:15" x14ac:dyDescent="0.2">
      <c r="A81" s="96" t="s">
        <v>61</v>
      </c>
      <c r="B81" s="86"/>
      <c r="C81" s="86">
        <f>IFERROR(C37/B37-1,"")</f>
        <v>0.12552671753123223</v>
      </c>
      <c r="D81" s="86"/>
      <c r="E81" s="86">
        <f>IFERROR(E37/D37-1,"")</f>
        <v>0.7244318006153776</v>
      </c>
      <c r="F81" s="86"/>
      <c r="G81" s="86">
        <f>IFERROR(G37/F37-1,"")</f>
        <v>4.3037017069105232E-2</v>
      </c>
      <c r="H81" s="86"/>
      <c r="I81" s="86">
        <f>IFERROR(I37/H37-1,"")</f>
        <v>0.22324705923908739</v>
      </c>
      <c r="J81" s="86"/>
      <c r="K81" s="86" t="str">
        <f>IFERROR(K37/J37-1,"")</f>
        <v/>
      </c>
      <c r="L81" s="86"/>
      <c r="M81" s="86">
        <f>IFERROR(M37/L37-1,"")</f>
        <v>0.25351271661293096</v>
      </c>
      <c r="N81" s="86"/>
      <c r="O81" s="86">
        <f>IFERROR(O37/N37-1,"")</f>
        <v>0.15652629522132488</v>
      </c>
    </row>
    <row r="82" spans="1:15" x14ac:dyDescent="0.2">
      <c r="A82" s="96" t="s">
        <v>223</v>
      </c>
      <c r="B82" s="86"/>
      <c r="C82" s="86">
        <f>IFERROR(C38/B38-1,"")</f>
        <v>0.20877981217310082</v>
      </c>
      <c r="D82" s="86"/>
      <c r="E82" s="86">
        <f>IFERROR(E38/D38-1,"")</f>
        <v>0.67892384209309009</v>
      </c>
      <c r="F82" s="86"/>
      <c r="G82" s="86">
        <f>IFERROR(G38/F38-1,"")</f>
        <v>0.18257214677823752</v>
      </c>
      <c r="H82" s="86"/>
      <c r="I82" s="86">
        <f>IFERROR(I38/H38-1,"")</f>
        <v>4.1662795798447005E-2</v>
      </c>
      <c r="J82" s="86"/>
      <c r="K82" s="86" t="str">
        <f>IFERROR(K38/J38-1,"")</f>
        <v/>
      </c>
      <c r="L82" s="86"/>
      <c r="M82" s="86" t="str">
        <f>IFERROR(M38/L38-1,"")</f>
        <v/>
      </c>
      <c r="N82" s="86"/>
      <c r="O82" s="86">
        <f>IFERROR(O38/N38-1,"")</f>
        <v>0.21992879863121617</v>
      </c>
    </row>
    <row r="83" spans="1:15" x14ac:dyDescent="0.2">
      <c r="A83" s="96" t="s">
        <v>224</v>
      </c>
      <c r="B83" s="86"/>
      <c r="C83" s="86">
        <f>IFERROR(C39/B39-1,"")</f>
        <v>0.22304360577652504</v>
      </c>
      <c r="D83" s="86"/>
      <c r="E83" s="86" t="str">
        <f>IFERROR(E39/D39-1,"")</f>
        <v/>
      </c>
      <c r="F83" s="86"/>
      <c r="G83" s="86">
        <f>IFERROR(G39/F39-1,"")</f>
        <v>0.14914805954481269</v>
      </c>
      <c r="H83" s="86"/>
      <c r="I83" s="86">
        <f>IFERROR(I39/H39-1,"")</f>
        <v>0.2914611379543115</v>
      </c>
      <c r="J83" s="86"/>
      <c r="K83" s="86" t="str">
        <f>IFERROR(K39/J39-1,"")</f>
        <v/>
      </c>
      <c r="L83" s="86"/>
      <c r="M83" s="86">
        <f>IFERROR(M39/L39-1,"")</f>
        <v>0.30757466436447212</v>
      </c>
      <c r="N83" s="86"/>
      <c r="O83" s="86">
        <f>IFERROR(O39/N39-1,"")</f>
        <v>0.29073598939308609</v>
      </c>
    </row>
    <row r="84" spans="1:15" x14ac:dyDescent="0.2">
      <c r="A84" s="96" t="s">
        <v>64</v>
      </c>
      <c r="B84" s="86"/>
      <c r="C84" s="86">
        <f>IFERROR(C40/B40-1,"")</f>
        <v>-0.16579987320592748</v>
      </c>
      <c r="D84" s="86"/>
      <c r="E84" s="86">
        <f>IFERROR(E40/D40-1,"")</f>
        <v>0.88704059911726185</v>
      </c>
      <c r="F84" s="86"/>
      <c r="G84" s="86">
        <f>IFERROR(G40/F40-1,"")</f>
        <v>-1.0758502736934943</v>
      </c>
      <c r="H84" s="86"/>
      <c r="I84" s="86">
        <f>IFERROR(I40/H40-1,"")</f>
        <v>0.17891155617011756</v>
      </c>
      <c r="J84" s="86"/>
      <c r="K84" s="86" t="str">
        <f>IFERROR(K40/J40-1,"")</f>
        <v/>
      </c>
      <c r="L84" s="86"/>
      <c r="M84" s="86">
        <f>IFERROR(M40/L40-1,"")</f>
        <v>-0.10501768127292543</v>
      </c>
      <c r="N84" s="86"/>
      <c r="O84" s="86">
        <f>IFERROR(O40/N40-1,"")</f>
        <v>-0.14312249031752178</v>
      </c>
    </row>
    <row r="85" spans="1:15" x14ac:dyDescent="0.2">
      <c r="A85" s="216"/>
      <c r="L85" s="86"/>
      <c r="M85" s="86"/>
    </row>
    <row r="86" spans="1:15" x14ac:dyDescent="0.2">
      <c r="A86" s="216"/>
    </row>
    <row r="87" spans="1:15" x14ac:dyDescent="0.2">
      <c r="A87" s="216"/>
    </row>
    <row r="88" spans="1:15" x14ac:dyDescent="0.2">
      <c r="A88" s="216"/>
    </row>
    <row r="89" spans="1:15" x14ac:dyDescent="0.2">
      <c r="A89" s="216"/>
    </row>
    <row r="90" spans="1:15" x14ac:dyDescent="0.2">
      <c r="A90" s="216"/>
    </row>
    <row r="91" spans="1:15" x14ac:dyDescent="0.2">
      <c r="A91" s="216"/>
    </row>
    <row r="92" spans="1:15" x14ac:dyDescent="0.2">
      <c r="A92" s="216"/>
    </row>
    <row r="93" spans="1:15" x14ac:dyDescent="0.2">
      <c r="A93" s="216"/>
    </row>
    <row r="94" spans="1:15" x14ac:dyDescent="0.2">
      <c r="A94" s="216"/>
    </row>
    <row r="95" spans="1:15" x14ac:dyDescent="0.2">
      <c r="A95" s="216"/>
    </row>
    <row r="96" spans="1:15"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216"/>
    </row>
    <row r="127" spans="1:1" x14ac:dyDescent="0.2">
      <c r="A127" s="216"/>
    </row>
    <row r="128" spans="1:1" x14ac:dyDescent="0.2">
      <c r="A128" s="216"/>
    </row>
    <row r="129" spans="1:13" x14ac:dyDescent="0.2">
      <c r="A129" s="216"/>
    </row>
    <row r="130" spans="1:13" x14ac:dyDescent="0.2">
      <c r="A130" s="216"/>
    </row>
    <row r="131" spans="1:13" x14ac:dyDescent="0.2">
      <c r="A131" s="216"/>
    </row>
    <row r="132" spans="1:13" x14ac:dyDescent="0.2">
      <c r="A132" s="216"/>
    </row>
    <row r="133" spans="1:13" x14ac:dyDescent="0.2">
      <c r="A133" s="216"/>
    </row>
    <row r="134" spans="1:13" x14ac:dyDescent="0.2">
      <c r="A134" s="216"/>
    </row>
    <row r="135" spans="1:13" x14ac:dyDescent="0.2">
      <c r="A135" s="216"/>
    </row>
    <row r="136" spans="1:13" x14ac:dyDescent="0.2">
      <c r="A136" s="216"/>
    </row>
    <row r="137" spans="1:13" x14ac:dyDescent="0.2">
      <c r="A137" s="216"/>
    </row>
    <row r="138" spans="1:13" x14ac:dyDescent="0.2">
      <c r="A138" s="216"/>
    </row>
    <row r="139" spans="1:13" x14ac:dyDescent="0.2">
      <c r="A139" s="216"/>
      <c r="L139" s="245"/>
      <c r="M139" s="245"/>
    </row>
    <row r="140" spans="1:13" x14ac:dyDescent="0.2">
      <c r="B140" s="245"/>
      <c r="C140" s="245"/>
      <c r="D140" s="245"/>
      <c r="E140" s="245"/>
      <c r="F140" s="245"/>
      <c r="G140" s="245"/>
      <c r="H140" s="245"/>
      <c r="I140" s="245"/>
      <c r="J140" s="245"/>
      <c r="K140" s="245"/>
      <c r="L140" s="245"/>
      <c r="M140" s="245"/>
    </row>
    <row r="141" spans="1:13" x14ac:dyDescent="0.2">
      <c r="B141" s="245"/>
      <c r="C141" s="245"/>
      <c r="D141" s="245"/>
      <c r="E141" s="245"/>
      <c r="F141" s="245"/>
      <c r="G141" s="245"/>
      <c r="H141" s="245"/>
      <c r="I141" s="245"/>
      <c r="J141" s="245"/>
      <c r="K141" s="245"/>
    </row>
    <row r="143" spans="1:13" x14ac:dyDescent="0.2">
      <c r="A143" s="244"/>
    </row>
    <row r="144" spans="1:13" x14ac:dyDescent="0.2">
      <c r="A144" s="216"/>
    </row>
    <row r="145" spans="1:13" x14ac:dyDescent="0.2">
      <c r="A145" s="216"/>
    </row>
    <row r="146" spans="1:13" x14ac:dyDescent="0.2">
      <c r="A146" s="216"/>
      <c r="L146" s="245"/>
      <c r="M146" s="245"/>
    </row>
    <row r="147" spans="1:13" x14ac:dyDescent="0.2">
      <c r="B147" s="245"/>
      <c r="C147" s="245"/>
      <c r="D147" s="245"/>
      <c r="E147" s="245"/>
      <c r="F147" s="245"/>
      <c r="G147" s="245"/>
      <c r="H147" s="245"/>
      <c r="I147" s="245"/>
      <c r="J147" s="245"/>
      <c r="K147" s="245"/>
    </row>
    <row r="149" spans="1:13" x14ac:dyDescent="0.2">
      <c r="L149" s="245"/>
      <c r="M149" s="245"/>
    </row>
    <row r="150" spans="1:13" x14ac:dyDescent="0.2">
      <c r="B150" s="245"/>
      <c r="C150" s="245"/>
      <c r="D150" s="245"/>
      <c r="E150" s="245"/>
      <c r="F150" s="245"/>
      <c r="G150" s="245"/>
      <c r="H150" s="245"/>
      <c r="I150" s="245"/>
      <c r="J150" s="245"/>
      <c r="K150" s="245"/>
    </row>
    <row r="152" spans="1:13" x14ac:dyDescent="0.2">
      <c r="L152" s="245"/>
      <c r="M152" s="245"/>
    </row>
    <row r="153" spans="1:13" x14ac:dyDescent="0.2">
      <c r="B153" s="245"/>
      <c r="C153" s="245"/>
      <c r="D153" s="245"/>
      <c r="E153" s="245"/>
      <c r="F153" s="245"/>
      <c r="G153" s="245"/>
      <c r="H153" s="245"/>
      <c r="I153" s="245"/>
      <c r="J153" s="245"/>
      <c r="K153" s="245"/>
    </row>
    <row r="154" spans="1:13" x14ac:dyDescent="0.2">
      <c r="L154" s="245"/>
      <c r="M154" s="245"/>
    </row>
    <row r="155" spans="1:13" x14ac:dyDescent="0.2">
      <c r="B155" s="245"/>
      <c r="C155" s="245"/>
      <c r="D155" s="245"/>
      <c r="E155" s="245"/>
      <c r="F155" s="245"/>
      <c r="G155" s="245"/>
      <c r="H155" s="245"/>
      <c r="I155" s="245"/>
      <c r="J155" s="245"/>
      <c r="K155" s="245"/>
    </row>
    <row r="159" spans="1:13" x14ac:dyDescent="0.2">
      <c r="L159" s="228"/>
      <c r="M159" s="228"/>
    </row>
    <row r="160" spans="1:13" x14ac:dyDescent="0.2">
      <c r="B160" s="228"/>
      <c r="C160" s="228"/>
      <c r="D160" s="228"/>
      <c r="E160" s="228"/>
      <c r="F160" s="228"/>
      <c r="G160" s="228"/>
      <c r="H160" s="228"/>
      <c r="I160" s="228"/>
      <c r="J160" s="228"/>
      <c r="K160" s="228"/>
    </row>
    <row r="168" spans="1:15" x14ac:dyDescent="0.2">
      <c r="L168" s="216"/>
      <c r="M168" s="216"/>
      <c r="N168" s="216"/>
      <c r="O168" s="216"/>
    </row>
    <row r="169" spans="1:15" s="216" customFormat="1" x14ac:dyDescent="0.2">
      <c r="A169" s="214"/>
    </row>
    <row r="170" spans="1:15" s="216" customFormat="1" x14ac:dyDescent="0.2"/>
    <row r="171" spans="1:15" s="216" customFormat="1" x14ac:dyDescent="0.2">
      <c r="L171" s="214"/>
      <c r="M171" s="214"/>
      <c r="N171" s="214"/>
      <c r="O171" s="214"/>
    </row>
    <row r="175" spans="1:15" x14ac:dyDescent="0.2">
      <c r="L175" s="245"/>
      <c r="M175" s="245"/>
    </row>
    <row r="176" spans="1:15" x14ac:dyDescent="0.2">
      <c r="B176" s="245"/>
      <c r="C176" s="245"/>
      <c r="D176" s="245"/>
      <c r="E176" s="245"/>
      <c r="F176" s="245"/>
      <c r="G176" s="245"/>
      <c r="H176" s="245"/>
      <c r="I176" s="245"/>
      <c r="J176" s="245"/>
      <c r="K176" s="245"/>
    </row>
    <row r="180" spans="2:13" x14ac:dyDescent="0.2">
      <c r="L180" s="245"/>
      <c r="M180" s="245"/>
    </row>
    <row r="181" spans="2:13" x14ac:dyDescent="0.2">
      <c r="B181" s="245"/>
      <c r="C181" s="245"/>
      <c r="D181" s="245"/>
      <c r="E181" s="245"/>
      <c r="F181" s="245"/>
      <c r="G181" s="245"/>
      <c r="H181" s="245"/>
      <c r="I181" s="245"/>
      <c r="J181" s="245"/>
      <c r="K181" s="245"/>
    </row>
    <row r="185" spans="2:13" x14ac:dyDescent="0.2">
      <c r="L185" s="245"/>
      <c r="M185" s="245"/>
    </row>
    <row r="186" spans="2:13" x14ac:dyDescent="0.2">
      <c r="B186" s="245"/>
      <c r="C186" s="245"/>
      <c r="D186" s="245"/>
      <c r="E186" s="245"/>
      <c r="F186" s="245"/>
      <c r="G186" s="245"/>
      <c r="H186" s="245"/>
      <c r="I186" s="245"/>
      <c r="J186" s="245"/>
      <c r="K186" s="245"/>
      <c r="L186" s="245"/>
      <c r="M186" s="245"/>
    </row>
    <row r="187" spans="2:13" x14ac:dyDescent="0.2">
      <c r="B187" s="245"/>
      <c r="C187" s="245"/>
      <c r="D187" s="245"/>
      <c r="E187" s="245"/>
      <c r="F187" s="245"/>
      <c r="G187" s="245"/>
      <c r="H187" s="245"/>
      <c r="I187" s="245"/>
      <c r="J187" s="245"/>
      <c r="K187" s="245"/>
    </row>
    <row r="190" spans="2:13" x14ac:dyDescent="0.2">
      <c r="L190" s="245"/>
      <c r="M190" s="245"/>
    </row>
    <row r="191" spans="2:13" x14ac:dyDescent="0.2">
      <c r="B191" s="245"/>
      <c r="C191" s="245"/>
      <c r="D191" s="245"/>
      <c r="E191" s="245"/>
      <c r="F191" s="245"/>
      <c r="G191" s="245"/>
      <c r="H191" s="245"/>
      <c r="I191" s="245"/>
      <c r="J191" s="245"/>
      <c r="K191" s="245"/>
    </row>
    <row r="196" spans="2:13" x14ac:dyDescent="0.2">
      <c r="L196" s="228"/>
      <c r="M196" s="216"/>
    </row>
    <row r="197" spans="2:13" x14ac:dyDescent="0.2">
      <c r="B197" s="228"/>
      <c r="C197" s="216"/>
      <c r="D197" s="228"/>
      <c r="E197" s="216"/>
      <c r="F197" s="228"/>
      <c r="G197" s="216"/>
      <c r="H197" s="228"/>
      <c r="I197" s="216"/>
      <c r="J197" s="228"/>
      <c r="K197" s="216"/>
      <c r="L197" s="228"/>
      <c r="M197" s="216"/>
    </row>
    <row r="198" spans="2:13" x14ac:dyDescent="0.2">
      <c r="B198" s="228"/>
      <c r="C198" s="216"/>
      <c r="D198" s="228"/>
      <c r="E198" s="216"/>
      <c r="F198" s="228"/>
      <c r="G198" s="216"/>
      <c r="H198" s="228"/>
      <c r="I198" s="216"/>
      <c r="J198" s="228"/>
      <c r="K198" s="216"/>
      <c r="L198" s="246"/>
      <c r="M198" s="245"/>
    </row>
    <row r="199" spans="2:13" x14ac:dyDescent="0.2">
      <c r="B199" s="246"/>
      <c r="C199" s="245"/>
      <c r="D199" s="246"/>
      <c r="E199" s="245"/>
      <c r="F199" s="246"/>
      <c r="G199" s="245"/>
      <c r="H199" s="246"/>
      <c r="I199" s="245"/>
      <c r="J199" s="246"/>
      <c r="K199" s="245"/>
      <c r="L199" s="246"/>
      <c r="M199" s="245"/>
    </row>
    <row r="200" spans="2:13" x14ac:dyDescent="0.2">
      <c r="B200" s="246"/>
      <c r="C200" s="245"/>
      <c r="D200" s="246"/>
      <c r="E200" s="245"/>
      <c r="F200" s="246"/>
      <c r="G200" s="245"/>
      <c r="H200" s="246"/>
      <c r="I200" s="245"/>
      <c r="J200" s="246"/>
      <c r="K200" s="245"/>
      <c r="L200" s="246"/>
      <c r="M200" s="245"/>
    </row>
    <row r="201" spans="2:13" x14ac:dyDescent="0.2">
      <c r="B201" s="246"/>
      <c r="C201" s="245"/>
      <c r="D201" s="246"/>
      <c r="E201" s="245"/>
      <c r="F201" s="246"/>
      <c r="G201" s="245"/>
      <c r="H201" s="246"/>
      <c r="I201" s="245"/>
      <c r="J201" s="246"/>
      <c r="K201" s="245"/>
      <c r="L201" s="246"/>
      <c r="M201" s="245"/>
    </row>
    <row r="202" spans="2:13" x14ac:dyDescent="0.2">
      <c r="B202" s="246"/>
      <c r="C202" s="245"/>
      <c r="D202" s="246"/>
      <c r="E202" s="245"/>
      <c r="F202" s="246"/>
      <c r="G202" s="245"/>
      <c r="H202" s="246"/>
      <c r="I202" s="245"/>
      <c r="J202" s="246"/>
      <c r="K202" s="245"/>
      <c r="L202" s="245"/>
      <c r="M202" s="245"/>
    </row>
    <row r="203" spans="2:13" x14ac:dyDescent="0.2">
      <c r="B203" s="245"/>
      <c r="C203" s="245"/>
      <c r="D203" s="245"/>
      <c r="E203" s="245"/>
      <c r="F203" s="245"/>
      <c r="G203" s="245"/>
      <c r="H203" s="245"/>
      <c r="I203" s="245"/>
      <c r="J203" s="245"/>
      <c r="K203" s="245"/>
      <c r="L203" s="245"/>
      <c r="M203" s="245"/>
    </row>
    <row r="204" spans="2:13" x14ac:dyDescent="0.2">
      <c r="B204" s="245"/>
      <c r="C204" s="245"/>
      <c r="D204" s="245"/>
      <c r="E204" s="245"/>
      <c r="F204" s="245"/>
      <c r="G204" s="245"/>
      <c r="H204" s="245"/>
      <c r="I204" s="245"/>
      <c r="J204" s="245"/>
      <c r="K204" s="245"/>
      <c r="L204" s="245"/>
      <c r="M204" s="245"/>
    </row>
    <row r="205" spans="2:13" x14ac:dyDescent="0.2">
      <c r="B205" s="245"/>
      <c r="C205" s="245"/>
      <c r="D205" s="245"/>
      <c r="E205" s="245"/>
      <c r="F205" s="245"/>
      <c r="G205" s="245"/>
      <c r="H205" s="245"/>
      <c r="I205" s="245"/>
      <c r="J205" s="245"/>
      <c r="K205" s="245"/>
      <c r="L205" s="245"/>
      <c r="M205" s="245"/>
    </row>
    <row r="206" spans="2:13" x14ac:dyDescent="0.2">
      <c r="B206" s="245"/>
      <c r="C206" s="245"/>
      <c r="D206" s="245"/>
      <c r="E206" s="245"/>
      <c r="F206" s="245"/>
      <c r="G206" s="245"/>
      <c r="H206" s="245"/>
      <c r="I206" s="245"/>
      <c r="J206" s="245"/>
      <c r="K206" s="245"/>
      <c r="L206" s="245"/>
      <c r="M206" s="245"/>
    </row>
    <row r="207" spans="2:13" x14ac:dyDescent="0.2">
      <c r="B207" s="245"/>
      <c r="C207" s="245"/>
      <c r="D207" s="245"/>
      <c r="E207" s="245"/>
      <c r="F207" s="245"/>
      <c r="G207" s="245"/>
      <c r="H207" s="245"/>
      <c r="I207" s="245"/>
      <c r="J207" s="245"/>
      <c r="K207" s="245"/>
      <c r="L207" s="245"/>
      <c r="M207" s="245"/>
    </row>
    <row r="208" spans="2:13" x14ac:dyDescent="0.2">
      <c r="B208" s="245"/>
      <c r="C208" s="245"/>
      <c r="D208" s="245"/>
      <c r="E208" s="245"/>
      <c r="F208" s="245"/>
      <c r="G208" s="245"/>
      <c r="H208" s="245"/>
      <c r="I208" s="245"/>
      <c r="J208" s="245"/>
      <c r="K208" s="245"/>
      <c r="L208" s="245"/>
      <c r="M208" s="245"/>
    </row>
    <row r="209" spans="2:13" x14ac:dyDescent="0.2">
      <c r="B209" s="245"/>
      <c r="C209" s="245"/>
      <c r="D209" s="245"/>
      <c r="E209" s="245"/>
      <c r="F209" s="245"/>
      <c r="G209" s="245"/>
      <c r="H209" s="245"/>
      <c r="I209" s="245"/>
      <c r="J209" s="245"/>
      <c r="K209" s="245"/>
      <c r="L209" s="245"/>
      <c r="M209" s="245"/>
    </row>
    <row r="210" spans="2:13" x14ac:dyDescent="0.2">
      <c r="B210" s="245"/>
      <c r="C210" s="245"/>
      <c r="D210" s="245"/>
      <c r="E210" s="245"/>
      <c r="F210" s="245"/>
      <c r="G210" s="245"/>
      <c r="H210" s="245"/>
      <c r="I210" s="245"/>
      <c r="J210" s="245"/>
      <c r="K210" s="245"/>
      <c r="L210" s="245"/>
      <c r="M210" s="245"/>
    </row>
    <row r="211" spans="2:13" x14ac:dyDescent="0.2">
      <c r="B211" s="245"/>
      <c r="C211" s="245"/>
      <c r="D211" s="245"/>
      <c r="E211" s="245"/>
      <c r="F211" s="245"/>
      <c r="G211" s="245"/>
      <c r="H211" s="245"/>
      <c r="I211" s="245"/>
      <c r="J211" s="245"/>
      <c r="K211" s="245"/>
      <c r="L211" s="245"/>
      <c r="M211" s="245"/>
    </row>
    <row r="212" spans="2:13" x14ac:dyDescent="0.2">
      <c r="B212" s="245"/>
      <c r="C212" s="245"/>
      <c r="D212" s="245"/>
      <c r="E212" s="245"/>
      <c r="F212" s="245"/>
      <c r="G212" s="245"/>
      <c r="H212" s="245"/>
      <c r="I212" s="245"/>
      <c r="J212" s="245"/>
      <c r="K212" s="245"/>
      <c r="L212" s="245"/>
      <c r="M212" s="245"/>
    </row>
    <row r="213" spans="2:13" x14ac:dyDescent="0.2">
      <c r="B213" s="245"/>
      <c r="C213" s="245"/>
      <c r="D213" s="245"/>
      <c r="E213" s="245"/>
      <c r="F213" s="245"/>
      <c r="G213" s="245"/>
      <c r="H213" s="245"/>
      <c r="I213" s="245"/>
      <c r="J213" s="245"/>
      <c r="K213" s="245"/>
      <c r="L213" s="245"/>
      <c r="M213" s="245"/>
    </row>
    <row r="214" spans="2:13" x14ac:dyDescent="0.2">
      <c r="B214" s="245"/>
      <c r="C214" s="245"/>
      <c r="D214" s="245"/>
      <c r="E214" s="245"/>
      <c r="F214" s="245"/>
      <c r="G214" s="245"/>
      <c r="H214" s="245"/>
      <c r="I214" s="245"/>
      <c r="J214" s="245"/>
      <c r="K214" s="245"/>
      <c r="L214" s="245"/>
      <c r="M214" s="245"/>
    </row>
    <row r="215" spans="2:13" x14ac:dyDescent="0.2">
      <c r="B215" s="245"/>
      <c r="C215" s="245"/>
      <c r="D215" s="245"/>
      <c r="E215" s="245"/>
      <c r="F215" s="245"/>
      <c r="G215" s="245"/>
      <c r="H215" s="245"/>
      <c r="I215" s="245"/>
      <c r="J215" s="245"/>
      <c r="K215" s="245"/>
      <c r="L215" s="245"/>
      <c r="M215" s="245"/>
    </row>
    <row r="216" spans="2:13" x14ac:dyDescent="0.2">
      <c r="B216" s="245"/>
      <c r="C216" s="245"/>
      <c r="D216" s="245"/>
      <c r="E216" s="245"/>
      <c r="F216" s="245"/>
      <c r="G216" s="245"/>
      <c r="H216" s="245"/>
      <c r="I216" s="245"/>
      <c r="J216" s="245"/>
      <c r="K216" s="245"/>
      <c r="L216" s="245"/>
      <c r="M216" s="245"/>
    </row>
    <row r="217" spans="2:13" x14ac:dyDescent="0.2">
      <c r="B217" s="245"/>
      <c r="C217" s="245"/>
      <c r="D217" s="245"/>
      <c r="E217" s="245"/>
      <c r="F217" s="245"/>
      <c r="G217" s="245"/>
      <c r="H217" s="245"/>
      <c r="I217" s="245"/>
      <c r="J217" s="245"/>
      <c r="K217" s="245"/>
      <c r="L217" s="245"/>
      <c r="M217" s="245"/>
    </row>
    <row r="218" spans="2:13" x14ac:dyDescent="0.2">
      <c r="B218" s="245"/>
      <c r="C218" s="245"/>
      <c r="D218" s="245"/>
      <c r="E218" s="245"/>
      <c r="F218" s="245"/>
      <c r="G218" s="245"/>
      <c r="H218" s="245"/>
      <c r="I218" s="245"/>
      <c r="J218" s="245"/>
      <c r="K218" s="245"/>
      <c r="L218" s="245"/>
      <c r="M218" s="245"/>
    </row>
    <row r="219" spans="2:13" x14ac:dyDescent="0.2">
      <c r="B219" s="245"/>
      <c r="C219" s="245"/>
      <c r="D219" s="245"/>
      <c r="E219" s="245"/>
      <c r="F219" s="245"/>
      <c r="G219" s="245"/>
      <c r="H219" s="245"/>
      <c r="I219" s="245"/>
      <c r="J219" s="245"/>
      <c r="K219" s="245"/>
      <c r="L219" s="245"/>
      <c r="M219" s="245"/>
    </row>
    <row r="220" spans="2:13" x14ac:dyDescent="0.2">
      <c r="B220" s="245"/>
      <c r="C220" s="245"/>
      <c r="D220" s="245"/>
      <c r="E220" s="245"/>
      <c r="F220" s="245"/>
      <c r="G220" s="245"/>
      <c r="H220" s="245"/>
      <c r="I220" s="245"/>
      <c r="J220" s="245"/>
      <c r="K220" s="245"/>
      <c r="L220" s="245"/>
      <c r="M220" s="245"/>
    </row>
    <row r="221" spans="2:13" x14ac:dyDescent="0.2">
      <c r="B221" s="245"/>
      <c r="C221" s="245"/>
      <c r="D221" s="245"/>
      <c r="E221" s="245"/>
      <c r="F221" s="245"/>
      <c r="G221" s="245"/>
      <c r="H221" s="245"/>
      <c r="I221" s="245"/>
      <c r="J221" s="245"/>
      <c r="K221" s="245"/>
      <c r="L221" s="245"/>
      <c r="M221" s="245"/>
    </row>
    <row r="222" spans="2:13" x14ac:dyDescent="0.2">
      <c r="B222" s="245"/>
      <c r="C222" s="245"/>
      <c r="D222" s="245"/>
      <c r="E222" s="245"/>
      <c r="F222" s="245"/>
      <c r="G222" s="245"/>
      <c r="H222" s="245"/>
      <c r="I222" s="245"/>
      <c r="J222" s="245"/>
      <c r="K222" s="245"/>
      <c r="L222" s="245"/>
      <c r="M222" s="245"/>
    </row>
    <row r="223" spans="2:13" x14ac:dyDescent="0.2">
      <c r="B223" s="245"/>
      <c r="C223" s="245"/>
      <c r="D223" s="245"/>
      <c r="E223" s="245"/>
      <c r="F223" s="245"/>
      <c r="G223" s="245"/>
      <c r="H223" s="245"/>
      <c r="I223" s="245"/>
      <c r="J223" s="245"/>
      <c r="K223" s="245"/>
      <c r="L223" s="245"/>
      <c r="M223" s="245"/>
    </row>
    <row r="224" spans="2:13" x14ac:dyDescent="0.2">
      <c r="B224" s="245"/>
      <c r="C224" s="245"/>
      <c r="D224" s="245"/>
      <c r="E224" s="245"/>
      <c r="F224" s="245"/>
      <c r="G224" s="245"/>
      <c r="H224" s="245"/>
      <c r="I224" s="245"/>
      <c r="J224" s="245"/>
      <c r="K224" s="245"/>
      <c r="L224" s="245"/>
      <c r="M224" s="245"/>
    </row>
    <row r="225" spans="2:13" x14ac:dyDescent="0.2">
      <c r="B225" s="245"/>
      <c r="C225" s="245"/>
      <c r="D225" s="245"/>
      <c r="E225" s="245"/>
      <c r="F225" s="245"/>
      <c r="G225" s="245"/>
      <c r="H225" s="245"/>
      <c r="I225" s="245"/>
      <c r="J225" s="245"/>
      <c r="K225" s="245"/>
      <c r="L225" s="245"/>
      <c r="M225" s="245"/>
    </row>
    <row r="226" spans="2:13" x14ac:dyDescent="0.2">
      <c r="B226" s="245"/>
      <c r="C226" s="245"/>
      <c r="D226" s="245"/>
      <c r="E226" s="245"/>
      <c r="F226" s="245"/>
      <c r="G226" s="245"/>
      <c r="H226" s="245"/>
      <c r="I226" s="245"/>
      <c r="J226" s="245"/>
      <c r="K226" s="245"/>
    </row>
  </sheetData>
  <sheetProtection selectLockedCells="1" selectUnlockedCells="1"/>
  <mergeCells count="20">
    <mergeCell ref="L4:M4"/>
    <mergeCell ref="L6:M6"/>
    <mergeCell ref="N3:O4"/>
    <mergeCell ref="J6:K6"/>
    <mergeCell ref="H6:I6"/>
    <mergeCell ref="N6:O6"/>
    <mergeCell ref="H4:I4"/>
    <mergeCell ref="J4:K4"/>
    <mergeCell ref="L3:M3"/>
    <mergeCell ref="B3:C3"/>
    <mergeCell ref="D3:E3"/>
    <mergeCell ref="F3:G3"/>
    <mergeCell ref="H3:I3"/>
    <mergeCell ref="J3:K3"/>
    <mergeCell ref="B6:C6"/>
    <mergeCell ref="D6:E6"/>
    <mergeCell ref="F6:G6"/>
    <mergeCell ref="B4:C4"/>
    <mergeCell ref="D4:E4"/>
    <mergeCell ref="F4:G4"/>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AA7F9-0A4B-49C9-ACEA-6094EDCA22FB}">
  <sheetPr codeName="Hoja20">
    <tabColor theme="3" tint="-0.249977111117893"/>
  </sheetPr>
  <dimension ref="A1:BY226"/>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C6"/>
    </sheetView>
  </sheetViews>
  <sheetFormatPr baseColWidth="10" defaultColWidth="15" defaultRowHeight="12" x14ac:dyDescent="0.2"/>
  <cols>
    <col min="1" max="1" width="49.140625" style="214" bestFit="1" customWidth="1"/>
    <col min="2" max="2" width="20.140625" style="214" customWidth="1"/>
    <col min="3" max="3" width="23" style="214" customWidth="1"/>
    <col min="4" max="4" width="18.5703125" style="214" customWidth="1"/>
    <col min="5" max="5" width="19.42578125" style="214" customWidth="1"/>
    <col min="6" max="6" width="15.42578125" style="214" customWidth="1"/>
    <col min="7" max="7" width="16.85546875" style="214" customWidth="1"/>
    <col min="8" max="8" width="18.5703125" style="214" bestFit="1" customWidth="1"/>
    <col min="9" max="9" width="17.85546875" style="214" bestFit="1" customWidth="1"/>
    <col min="10" max="10" width="17.5703125" style="214" bestFit="1" customWidth="1"/>
    <col min="11" max="11" width="18.28515625" style="214" bestFit="1" customWidth="1"/>
    <col min="12" max="12" width="17.140625" style="214" bestFit="1" customWidth="1"/>
    <col min="13" max="13" width="18.5703125" style="214" bestFit="1" customWidth="1"/>
    <col min="14" max="14" width="19.42578125" style="214" customWidth="1"/>
    <col min="15" max="15" width="19.5703125" style="214" customWidth="1"/>
    <col min="16" max="16" width="27.42578125" style="214" customWidth="1"/>
    <col min="17" max="17" width="27.7109375" style="214" customWidth="1"/>
    <col min="18" max="18" width="23.7109375" style="214" customWidth="1"/>
    <col min="19" max="19" width="20" style="214" customWidth="1"/>
    <col min="20" max="20" width="27.42578125" style="214" customWidth="1"/>
    <col min="21" max="21" width="27.7109375" style="214" customWidth="1"/>
    <col min="22" max="22" width="27.42578125" style="214" customWidth="1"/>
    <col min="23" max="23" width="27.7109375" style="214" customWidth="1"/>
    <col min="24" max="24" width="27.42578125" style="214" customWidth="1"/>
    <col min="25" max="25" width="27.7109375" style="214" customWidth="1"/>
    <col min="26" max="26" width="27.42578125" style="214" customWidth="1"/>
    <col min="27" max="27" width="27.7109375" style="214" customWidth="1"/>
    <col min="28" max="28" width="27.42578125" style="214" customWidth="1"/>
    <col min="29" max="29" width="27.7109375" style="214" customWidth="1"/>
    <col min="30" max="30" width="27.42578125" style="214" customWidth="1"/>
    <col min="31" max="31" width="27.7109375" style="214" customWidth="1"/>
    <col min="32" max="32" width="27.42578125" style="214" customWidth="1"/>
    <col min="33" max="33" width="27.7109375" style="214" customWidth="1"/>
    <col min="34" max="34" width="21.28515625" style="214" customWidth="1"/>
    <col min="35" max="35" width="23.5703125" style="214" customWidth="1"/>
    <col min="36" max="36" width="19.140625" style="214" customWidth="1"/>
    <col min="37" max="37" width="20.85546875" style="214" customWidth="1"/>
    <col min="38" max="38" width="19.140625" style="214" customWidth="1"/>
    <col min="39" max="39" width="20.85546875" style="214" customWidth="1"/>
    <col min="40" max="40" width="19.140625" style="214" customWidth="1"/>
    <col min="41" max="41" width="20.85546875" style="214" customWidth="1"/>
    <col min="42" max="42" width="19.140625" style="214" customWidth="1"/>
    <col min="43" max="43" width="20.85546875" style="214" customWidth="1"/>
    <col min="44" max="44" width="19.140625" style="214" customWidth="1"/>
    <col min="45" max="45" width="20.85546875" style="214" customWidth="1"/>
    <col min="46" max="46" width="19.140625" style="214" customWidth="1"/>
    <col min="47" max="47" width="20.85546875" style="214" customWidth="1"/>
    <col min="48" max="48" width="19.140625" style="214" customWidth="1"/>
    <col min="49" max="61" width="20.85546875" style="214" customWidth="1"/>
    <col min="62" max="62" width="22.28515625" style="214" customWidth="1"/>
    <col min="63" max="63" width="27.7109375" style="214" customWidth="1"/>
    <col min="64" max="71" width="22.28515625" style="214" customWidth="1"/>
    <col min="72" max="73" width="22.28515625" style="214" hidden="1" customWidth="1"/>
    <col min="74" max="74" width="20.5703125" style="214" customWidth="1"/>
    <col min="75" max="75" width="20.85546875" style="214" customWidth="1"/>
    <col min="76" max="16384" width="15" style="214"/>
  </cols>
  <sheetData>
    <row r="1" spans="1:77" ht="18" x14ac:dyDescent="0.2">
      <c r="B1" s="305" t="s">
        <v>463</v>
      </c>
    </row>
    <row r="2" spans="1:77" x14ac:dyDescent="0.2">
      <c r="A2" s="248"/>
    </row>
    <row r="3" spans="1:77" x14ac:dyDescent="0.2">
      <c r="B3" s="353" t="s">
        <v>187</v>
      </c>
      <c r="C3" s="353"/>
      <c r="D3" s="353" t="s">
        <v>187</v>
      </c>
      <c r="E3" s="353"/>
      <c r="F3" s="353" t="s">
        <v>187</v>
      </c>
      <c r="G3" s="353"/>
      <c r="H3" s="353" t="s">
        <v>187</v>
      </c>
      <c r="I3" s="353"/>
      <c r="J3" s="353" t="s">
        <v>187</v>
      </c>
      <c r="K3" s="353"/>
      <c r="L3" s="353" t="s">
        <v>187</v>
      </c>
      <c r="M3" s="353"/>
      <c r="N3" s="353" t="s">
        <v>187</v>
      </c>
      <c r="O3" s="353"/>
      <c r="P3" s="353" t="s">
        <v>187</v>
      </c>
      <c r="Q3" s="353"/>
      <c r="R3" s="353" t="s">
        <v>187</v>
      </c>
      <c r="S3" s="353"/>
      <c r="T3" s="353" t="s">
        <v>187</v>
      </c>
      <c r="U3" s="353"/>
      <c r="V3" s="353" t="s">
        <v>187</v>
      </c>
      <c r="W3" s="353"/>
      <c r="X3" s="353" t="s">
        <v>187</v>
      </c>
      <c r="Y3" s="353"/>
      <c r="Z3" s="353" t="s">
        <v>187</v>
      </c>
      <c r="AA3" s="353"/>
      <c r="AB3" s="353" t="s">
        <v>187</v>
      </c>
      <c r="AC3" s="353"/>
      <c r="AD3" s="353" t="s">
        <v>186</v>
      </c>
      <c r="AE3" s="353"/>
      <c r="AF3" s="353" t="s">
        <v>187</v>
      </c>
      <c r="AG3" s="353"/>
      <c r="AH3" s="353" t="s">
        <v>186</v>
      </c>
      <c r="AI3" s="353"/>
      <c r="AJ3" s="338" t="s">
        <v>187</v>
      </c>
      <c r="AK3" s="340"/>
      <c r="AL3" s="338" t="s">
        <v>187</v>
      </c>
      <c r="AM3" s="340"/>
      <c r="AN3" s="338" t="s">
        <v>187</v>
      </c>
      <c r="AO3" s="340"/>
      <c r="AP3" s="338" t="s">
        <v>187</v>
      </c>
      <c r="AQ3" s="340"/>
      <c r="AR3" s="338" t="s">
        <v>187</v>
      </c>
      <c r="AS3" s="340"/>
      <c r="AT3" s="338" t="s">
        <v>187</v>
      </c>
      <c r="AU3" s="340"/>
      <c r="AV3" s="338" t="s">
        <v>187</v>
      </c>
      <c r="AW3" s="340"/>
      <c r="AX3" s="338" t="s">
        <v>187</v>
      </c>
      <c r="AY3" s="340"/>
      <c r="AZ3" s="338" t="s">
        <v>187</v>
      </c>
      <c r="BA3" s="340"/>
      <c r="BB3" s="338" t="s">
        <v>187</v>
      </c>
      <c r="BC3" s="340"/>
      <c r="BD3" s="338" t="s">
        <v>187</v>
      </c>
      <c r="BE3" s="340"/>
      <c r="BF3" s="338" t="s">
        <v>187</v>
      </c>
      <c r="BG3" s="340"/>
      <c r="BH3" s="338" t="s">
        <v>187</v>
      </c>
      <c r="BI3" s="340"/>
      <c r="BJ3" s="338" t="s">
        <v>187</v>
      </c>
      <c r="BK3" s="340"/>
      <c r="BL3" s="338" t="s">
        <v>187</v>
      </c>
      <c r="BM3" s="340"/>
      <c r="BN3" s="338" t="s">
        <v>187</v>
      </c>
      <c r="BO3" s="340"/>
      <c r="BP3" s="338" t="s">
        <v>187</v>
      </c>
      <c r="BQ3" s="340"/>
      <c r="BR3" s="338" t="s">
        <v>187</v>
      </c>
      <c r="BS3" s="340"/>
      <c r="BT3" s="353"/>
      <c r="BU3" s="353"/>
      <c r="BV3" s="355" t="s">
        <v>92</v>
      </c>
      <c r="BW3" s="357"/>
    </row>
    <row r="4" spans="1:77" s="215" customFormat="1" ht="47.1" customHeight="1" x14ac:dyDescent="0.2">
      <c r="A4" s="214"/>
      <c r="B4" s="354" t="s">
        <v>261</v>
      </c>
      <c r="C4" s="354"/>
      <c r="D4" s="371" t="s">
        <v>198</v>
      </c>
      <c r="E4" s="371"/>
      <c r="F4" s="354" t="s">
        <v>199</v>
      </c>
      <c r="G4" s="354"/>
      <c r="H4" s="354" t="s">
        <v>200</v>
      </c>
      <c r="I4" s="354"/>
      <c r="J4" s="354" t="s">
        <v>389</v>
      </c>
      <c r="K4" s="354"/>
      <c r="L4" s="354" t="s">
        <v>390</v>
      </c>
      <c r="M4" s="354"/>
      <c r="N4" s="354" t="s">
        <v>391</v>
      </c>
      <c r="O4" s="354"/>
      <c r="P4" s="354" t="s">
        <v>392</v>
      </c>
      <c r="Q4" s="353"/>
      <c r="R4" s="354" t="s">
        <v>393</v>
      </c>
      <c r="S4" s="353"/>
      <c r="T4" s="354" t="s">
        <v>201</v>
      </c>
      <c r="U4" s="353"/>
      <c r="V4" s="354" t="s">
        <v>452</v>
      </c>
      <c r="W4" s="353"/>
      <c r="X4" s="354" t="s">
        <v>202</v>
      </c>
      <c r="Y4" s="353"/>
      <c r="Z4" s="354" t="s">
        <v>203</v>
      </c>
      <c r="AA4" s="353"/>
      <c r="AB4" s="354" t="s">
        <v>204</v>
      </c>
      <c r="AC4" s="353"/>
      <c r="AD4" s="354" t="s">
        <v>205</v>
      </c>
      <c r="AE4" s="353"/>
      <c r="AF4" s="354" t="s">
        <v>394</v>
      </c>
      <c r="AG4" s="353"/>
      <c r="AH4" s="354" t="s">
        <v>395</v>
      </c>
      <c r="AI4" s="353"/>
      <c r="AJ4" s="354" t="s">
        <v>396</v>
      </c>
      <c r="AK4" s="353"/>
      <c r="AL4" s="354" t="s">
        <v>397</v>
      </c>
      <c r="AM4" s="353"/>
      <c r="AN4" s="354" t="s">
        <v>398</v>
      </c>
      <c r="AO4" s="353"/>
      <c r="AP4" s="354" t="s">
        <v>399</v>
      </c>
      <c r="AQ4" s="353"/>
      <c r="AR4" s="354" t="s">
        <v>400</v>
      </c>
      <c r="AS4" s="353"/>
      <c r="AT4" s="354" t="s">
        <v>262</v>
      </c>
      <c r="AU4" s="353"/>
      <c r="AV4" s="354" t="s">
        <v>401</v>
      </c>
      <c r="AW4" s="353"/>
      <c r="AX4" s="344" t="s">
        <v>402</v>
      </c>
      <c r="AY4" s="346"/>
      <c r="AZ4" s="344" t="s">
        <v>403</v>
      </c>
      <c r="BA4" s="346"/>
      <c r="BB4" s="344" t="s">
        <v>404</v>
      </c>
      <c r="BC4" s="346"/>
      <c r="BD4" s="344" t="s">
        <v>405</v>
      </c>
      <c r="BE4" s="346"/>
      <c r="BF4" s="344" t="s">
        <v>409</v>
      </c>
      <c r="BG4" s="346"/>
      <c r="BH4" s="344" t="s">
        <v>408</v>
      </c>
      <c r="BI4" s="346"/>
      <c r="BJ4" s="354" t="s">
        <v>429</v>
      </c>
      <c r="BK4" s="353"/>
      <c r="BL4" s="354" t="s">
        <v>430</v>
      </c>
      <c r="BM4" s="353"/>
      <c r="BN4" s="354" t="s">
        <v>431</v>
      </c>
      <c r="BO4" s="353"/>
      <c r="BP4" s="354" t="s">
        <v>432</v>
      </c>
      <c r="BQ4" s="353"/>
      <c r="BR4" s="354" t="s">
        <v>446</v>
      </c>
      <c r="BS4" s="353"/>
      <c r="BT4" s="354"/>
      <c r="BU4" s="353"/>
      <c r="BV4" s="351"/>
      <c r="BW4" s="358"/>
    </row>
    <row r="5" spans="1:77" s="250" customFormat="1" x14ac:dyDescent="0.2">
      <c r="A5" s="257"/>
      <c r="B5" s="304">
        <v>2022</v>
      </c>
      <c r="C5" s="304">
        <v>2023</v>
      </c>
      <c r="D5" s="304">
        <v>2022</v>
      </c>
      <c r="E5" s="304">
        <v>2023</v>
      </c>
      <c r="F5" s="304">
        <v>2022</v>
      </c>
      <c r="G5" s="304">
        <v>2023</v>
      </c>
      <c r="H5" s="304">
        <v>2022</v>
      </c>
      <c r="I5" s="304">
        <v>2023</v>
      </c>
      <c r="J5" s="304">
        <v>2022</v>
      </c>
      <c r="K5" s="304">
        <v>2023</v>
      </c>
      <c r="L5" s="304">
        <v>2022</v>
      </c>
      <c r="M5" s="304">
        <v>2023</v>
      </c>
      <c r="N5" s="304">
        <v>2022</v>
      </c>
      <c r="O5" s="304">
        <v>2023</v>
      </c>
      <c r="P5" s="304">
        <v>2022</v>
      </c>
      <c r="Q5" s="304">
        <v>2023</v>
      </c>
      <c r="R5" s="304">
        <v>2022</v>
      </c>
      <c r="S5" s="304">
        <v>2023</v>
      </c>
      <c r="T5" s="304">
        <v>2022</v>
      </c>
      <c r="U5" s="304">
        <v>2023</v>
      </c>
      <c r="V5" s="304">
        <v>2022</v>
      </c>
      <c r="W5" s="304">
        <v>2023</v>
      </c>
      <c r="X5" s="304">
        <v>2022</v>
      </c>
      <c r="Y5" s="304">
        <v>2023</v>
      </c>
      <c r="Z5" s="304">
        <v>2022</v>
      </c>
      <c r="AA5" s="304">
        <v>2023</v>
      </c>
      <c r="AB5" s="304">
        <v>2022</v>
      </c>
      <c r="AC5" s="304">
        <v>2023</v>
      </c>
      <c r="AD5" s="304">
        <v>2022</v>
      </c>
      <c r="AE5" s="304">
        <v>2023</v>
      </c>
      <c r="AF5" s="304">
        <v>2022</v>
      </c>
      <c r="AG5" s="304">
        <v>2023</v>
      </c>
      <c r="AH5" s="304">
        <v>2022</v>
      </c>
      <c r="AI5" s="304">
        <v>2023</v>
      </c>
      <c r="AJ5" s="304">
        <v>2022</v>
      </c>
      <c r="AK5" s="304">
        <v>2023</v>
      </c>
      <c r="AL5" s="304">
        <v>2022</v>
      </c>
      <c r="AM5" s="304">
        <v>2023</v>
      </c>
      <c r="AN5" s="304">
        <v>2022</v>
      </c>
      <c r="AO5" s="304">
        <v>2023</v>
      </c>
      <c r="AP5" s="304">
        <v>2022</v>
      </c>
      <c r="AQ5" s="304">
        <v>2023</v>
      </c>
      <c r="AR5" s="304">
        <v>2022</v>
      </c>
      <c r="AS5" s="304">
        <v>2023</v>
      </c>
      <c r="AT5" s="304">
        <v>2022</v>
      </c>
      <c r="AU5" s="304">
        <v>2023</v>
      </c>
      <c r="AV5" s="304">
        <v>2022</v>
      </c>
      <c r="AW5" s="304">
        <v>2023</v>
      </c>
      <c r="AX5" s="304">
        <v>2022</v>
      </c>
      <c r="AY5" s="304">
        <v>2023</v>
      </c>
      <c r="AZ5" s="304">
        <v>2022</v>
      </c>
      <c r="BA5" s="304">
        <v>2023</v>
      </c>
      <c r="BB5" s="304">
        <v>2022</v>
      </c>
      <c r="BC5" s="304">
        <v>2023</v>
      </c>
      <c r="BD5" s="304">
        <v>2022</v>
      </c>
      <c r="BE5" s="304">
        <v>2023</v>
      </c>
      <c r="BF5" s="304">
        <v>2022</v>
      </c>
      <c r="BG5" s="304">
        <v>2023</v>
      </c>
      <c r="BH5" s="304">
        <v>2022</v>
      </c>
      <c r="BI5" s="304">
        <v>2023</v>
      </c>
      <c r="BJ5" s="304">
        <v>2022</v>
      </c>
      <c r="BK5" s="304">
        <v>2023</v>
      </c>
      <c r="BL5" s="304">
        <v>2022</v>
      </c>
      <c r="BM5" s="304">
        <v>2023</v>
      </c>
      <c r="BN5" s="304">
        <v>2022</v>
      </c>
      <c r="BO5" s="304">
        <v>2023</v>
      </c>
      <c r="BP5" s="304">
        <v>2022</v>
      </c>
      <c r="BQ5" s="304">
        <v>2023</v>
      </c>
      <c r="BR5" s="304">
        <v>2022</v>
      </c>
      <c r="BS5" s="304">
        <v>2023</v>
      </c>
      <c r="BT5" s="304">
        <v>2022</v>
      </c>
      <c r="BU5" s="304">
        <v>2023</v>
      </c>
      <c r="BV5" s="304">
        <v>2022</v>
      </c>
      <c r="BW5" s="304">
        <v>2023</v>
      </c>
    </row>
    <row r="6" spans="1:77" x14ac:dyDescent="0.2">
      <c r="B6" s="353"/>
      <c r="C6" s="353"/>
      <c r="D6" s="353"/>
      <c r="E6" s="353"/>
      <c r="F6" s="353"/>
      <c r="G6" s="353"/>
      <c r="H6" s="353" t="s">
        <v>246</v>
      </c>
      <c r="I6" s="353"/>
      <c r="J6" s="353"/>
      <c r="K6" s="353"/>
      <c r="L6" s="353"/>
      <c r="M6" s="353"/>
      <c r="N6" s="353"/>
      <c r="O6" s="353"/>
      <c r="P6" s="353" t="s">
        <v>246</v>
      </c>
      <c r="Q6" s="353"/>
      <c r="R6" s="353" t="s">
        <v>246</v>
      </c>
      <c r="S6" s="353"/>
      <c r="T6" s="353" t="s">
        <v>246</v>
      </c>
      <c r="U6" s="353"/>
      <c r="V6" s="353" t="s">
        <v>246</v>
      </c>
      <c r="W6" s="353"/>
      <c r="X6" s="353" t="s">
        <v>246</v>
      </c>
      <c r="Y6" s="353"/>
      <c r="Z6" s="353" t="s">
        <v>246</v>
      </c>
      <c r="AA6" s="353"/>
      <c r="AB6" s="353" t="s">
        <v>246</v>
      </c>
      <c r="AC6" s="353"/>
      <c r="AD6" s="353" t="s">
        <v>246</v>
      </c>
      <c r="AE6" s="353"/>
      <c r="AF6" s="353" t="s">
        <v>246</v>
      </c>
      <c r="AG6" s="353"/>
      <c r="AH6" s="353" t="s">
        <v>246</v>
      </c>
      <c r="AI6" s="353"/>
      <c r="AJ6" s="354" t="s">
        <v>102</v>
      </c>
      <c r="AK6" s="353"/>
      <c r="AL6" s="354" t="s">
        <v>102</v>
      </c>
      <c r="AM6" s="353"/>
      <c r="AN6" s="354" t="s">
        <v>102</v>
      </c>
      <c r="AO6" s="353"/>
      <c r="AP6" s="354" t="s">
        <v>102</v>
      </c>
      <c r="AQ6" s="353"/>
      <c r="AR6" s="354" t="s">
        <v>102</v>
      </c>
      <c r="AS6" s="353"/>
      <c r="AT6" s="354" t="s">
        <v>102</v>
      </c>
      <c r="AU6" s="353"/>
      <c r="AV6" s="354" t="s">
        <v>102</v>
      </c>
      <c r="AW6" s="353"/>
      <c r="AX6" s="354" t="s">
        <v>102</v>
      </c>
      <c r="AY6" s="353"/>
      <c r="AZ6" s="354" t="s">
        <v>102</v>
      </c>
      <c r="BA6" s="353"/>
      <c r="BB6" s="354" t="s">
        <v>102</v>
      </c>
      <c r="BC6" s="353"/>
      <c r="BD6" s="354" t="s">
        <v>102</v>
      </c>
      <c r="BE6" s="353"/>
      <c r="BF6" s="354" t="s">
        <v>102</v>
      </c>
      <c r="BG6" s="353"/>
      <c r="BH6" s="354" t="s">
        <v>102</v>
      </c>
      <c r="BI6" s="353"/>
      <c r="BJ6" s="354" t="s">
        <v>102</v>
      </c>
      <c r="BK6" s="353"/>
      <c r="BL6" s="354" t="s">
        <v>102</v>
      </c>
      <c r="BM6" s="353"/>
      <c r="BN6" s="354" t="s">
        <v>102</v>
      </c>
      <c r="BO6" s="353"/>
      <c r="BP6" s="354" t="s">
        <v>102</v>
      </c>
      <c r="BQ6" s="353"/>
      <c r="BR6" s="354" t="s">
        <v>102</v>
      </c>
      <c r="BS6" s="353"/>
      <c r="BT6" s="354" t="s">
        <v>102</v>
      </c>
      <c r="BU6" s="353"/>
      <c r="BV6" s="353" t="s">
        <v>246</v>
      </c>
      <c r="BW6" s="353"/>
    </row>
    <row r="7" spans="1:77" s="216" customFormat="1" ht="15" x14ac:dyDescent="0.2">
      <c r="A7" s="306" t="s">
        <v>39</v>
      </c>
      <c r="B7" s="253"/>
      <c r="C7" s="254"/>
      <c r="D7" s="253"/>
      <c r="E7" s="254"/>
      <c r="F7" s="253"/>
      <c r="G7" s="254"/>
      <c r="H7" s="253"/>
      <c r="I7" s="254"/>
      <c r="J7" s="253"/>
      <c r="K7" s="254"/>
      <c r="L7" s="253"/>
      <c r="M7" s="254"/>
      <c r="N7" s="253"/>
      <c r="O7" s="254"/>
      <c r="P7" s="253"/>
      <c r="Q7" s="254"/>
      <c r="R7" s="253"/>
      <c r="S7" s="254"/>
      <c r="T7" s="253"/>
      <c r="U7" s="254"/>
      <c r="V7" s="253"/>
      <c r="W7" s="254"/>
      <c r="X7" s="253"/>
      <c r="Y7" s="254"/>
      <c r="Z7" s="253"/>
      <c r="AA7" s="254"/>
      <c r="AB7" s="253"/>
      <c r="AC7" s="254"/>
      <c r="AD7" s="253"/>
      <c r="AE7" s="254"/>
      <c r="AF7" s="253"/>
      <c r="AG7" s="254"/>
      <c r="AH7" s="253"/>
      <c r="AI7" s="254"/>
      <c r="AJ7" s="253"/>
      <c r="AK7" s="254"/>
      <c r="AL7" s="253"/>
      <c r="AM7" s="254"/>
      <c r="AN7" s="253"/>
      <c r="AO7" s="254"/>
      <c r="AP7" s="253"/>
      <c r="AQ7" s="254"/>
      <c r="AR7" s="253"/>
      <c r="AS7" s="254"/>
      <c r="AT7" s="253"/>
      <c r="AU7" s="254"/>
      <c r="AV7" s="253"/>
      <c r="AW7" s="254"/>
      <c r="AX7" s="254"/>
      <c r="AY7" s="254"/>
      <c r="AZ7" s="254"/>
      <c r="BA7" s="254"/>
      <c r="BB7" s="254"/>
      <c r="BC7" s="254"/>
      <c r="BD7" s="254"/>
      <c r="BE7" s="254"/>
      <c r="BF7" s="254"/>
      <c r="BG7" s="254"/>
      <c r="BH7" s="254"/>
      <c r="BI7" s="254"/>
      <c r="BJ7" s="253"/>
      <c r="BK7" s="254"/>
      <c r="BL7" s="254"/>
      <c r="BM7" s="254"/>
      <c r="BN7" s="254"/>
      <c r="BO7" s="254"/>
      <c r="BP7" s="254"/>
      <c r="BQ7" s="254"/>
      <c r="BR7" s="254"/>
      <c r="BS7" s="254"/>
      <c r="BT7" s="254"/>
      <c r="BU7" s="254"/>
      <c r="BV7" s="253"/>
      <c r="BW7" s="254"/>
    </row>
    <row r="8" spans="1:77" s="216" customFormat="1" x14ac:dyDescent="0.2">
      <c r="B8" s="209"/>
      <c r="C8" s="211"/>
      <c r="D8" s="209"/>
      <c r="E8" s="211"/>
      <c r="F8" s="209"/>
      <c r="G8" s="211"/>
      <c r="H8" s="209"/>
      <c r="I8" s="211"/>
      <c r="J8" s="209"/>
      <c r="K8" s="211"/>
      <c r="L8" s="209"/>
      <c r="M8" s="211"/>
      <c r="N8" s="209"/>
      <c r="O8" s="211"/>
      <c r="P8" s="209"/>
      <c r="Q8" s="211"/>
      <c r="R8" s="209"/>
      <c r="S8" s="211"/>
      <c r="T8" s="209"/>
      <c r="U8" s="211"/>
      <c r="V8" s="209"/>
      <c r="W8" s="211"/>
      <c r="X8" s="209"/>
      <c r="Y8" s="211"/>
      <c r="Z8" s="209"/>
      <c r="AA8" s="211"/>
      <c r="AB8" s="209"/>
      <c r="AC8" s="211"/>
      <c r="AD8" s="209"/>
      <c r="AE8" s="211"/>
      <c r="AF8" s="209"/>
      <c r="AG8" s="211"/>
      <c r="AH8" s="209"/>
      <c r="AI8" s="211"/>
      <c r="AJ8" s="209"/>
      <c r="AK8" s="211"/>
      <c r="AL8" s="209"/>
      <c r="AM8" s="211"/>
      <c r="AN8" s="209"/>
      <c r="AO8" s="211"/>
      <c r="AP8" s="209"/>
      <c r="AQ8" s="211"/>
      <c r="AR8" s="209"/>
      <c r="AS8" s="211"/>
      <c r="AT8" s="209"/>
      <c r="AU8" s="211"/>
      <c r="AV8" s="209"/>
      <c r="AW8" s="211"/>
      <c r="AX8" s="211"/>
      <c r="AY8" s="211"/>
      <c r="AZ8" s="211"/>
      <c r="BA8" s="211"/>
      <c r="BB8" s="211"/>
      <c r="BC8" s="211"/>
      <c r="BD8" s="211"/>
      <c r="BE8" s="211"/>
      <c r="BF8" s="211"/>
      <c r="BG8" s="211"/>
      <c r="BH8" s="211"/>
      <c r="BI8" s="211"/>
      <c r="BJ8" s="209"/>
      <c r="BK8" s="211"/>
      <c r="BL8" s="211"/>
      <c r="BM8" s="211"/>
      <c r="BN8" s="211"/>
      <c r="BO8" s="211"/>
      <c r="BP8" s="211"/>
      <c r="BQ8" s="211"/>
      <c r="BR8" s="211"/>
      <c r="BS8" s="211"/>
      <c r="BT8" s="211"/>
      <c r="BU8" s="211"/>
      <c r="BV8" s="209"/>
      <c r="BW8" s="211"/>
    </row>
    <row r="9" spans="1:77" s="216" customFormat="1" x14ac:dyDescent="0.2">
      <c r="A9" s="218" t="s">
        <v>40</v>
      </c>
      <c r="B9" s="209"/>
      <c r="C9" s="211"/>
      <c r="D9" s="209"/>
      <c r="E9" s="211"/>
      <c r="F9" s="209"/>
      <c r="G9" s="211"/>
      <c r="H9" s="209"/>
      <c r="I9" s="211"/>
      <c r="J9" s="209"/>
      <c r="K9" s="211"/>
      <c r="L9" s="209"/>
      <c r="M9" s="211"/>
      <c r="N9" s="209"/>
      <c r="O9" s="211"/>
      <c r="P9" s="209"/>
      <c r="Q9" s="211"/>
      <c r="R9" s="209"/>
      <c r="S9" s="211"/>
      <c r="T9" s="209"/>
      <c r="U9" s="211"/>
      <c r="V9" s="209"/>
      <c r="W9" s="211"/>
      <c r="X9" s="209"/>
      <c r="Y9" s="211"/>
      <c r="Z9" s="209"/>
      <c r="AA9" s="211"/>
      <c r="AB9" s="209"/>
      <c r="AC9" s="211"/>
      <c r="AD9" s="209"/>
      <c r="AE9" s="211"/>
      <c r="AF9" s="209"/>
      <c r="AG9" s="211"/>
      <c r="AH9" s="209"/>
      <c r="AI9" s="211"/>
      <c r="AJ9" s="209"/>
      <c r="AK9" s="211"/>
      <c r="AL9" s="209"/>
      <c r="AM9" s="211"/>
      <c r="AN9" s="209"/>
      <c r="AO9" s="211"/>
      <c r="AP9" s="209"/>
      <c r="AQ9" s="211"/>
      <c r="AR9" s="209"/>
      <c r="AS9" s="211"/>
      <c r="AT9" s="209"/>
      <c r="AU9" s="211"/>
      <c r="AV9" s="209"/>
      <c r="AW9" s="211"/>
      <c r="AX9" s="211"/>
      <c r="AY9" s="211"/>
      <c r="AZ9" s="211"/>
      <c r="BA9" s="211"/>
      <c r="BB9" s="211"/>
      <c r="BC9" s="211"/>
      <c r="BD9" s="211"/>
      <c r="BE9" s="211"/>
      <c r="BF9" s="211"/>
      <c r="BG9" s="211"/>
      <c r="BH9" s="211"/>
      <c r="BI9" s="211"/>
      <c r="BJ9" s="209"/>
      <c r="BK9" s="211"/>
      <c r="BL9" s="211"/>
      <c r="BM9" s="211"/>
      <c r="BN9" s="211"/>
      <c r="BO9" s="211"/>
      <c r="BP9" s="211"/>
      <c r="BQ9" s="211"/>
      <c r="BR9" s="211"/>
      <c r="BS9" s="211"/>
      <c r="BT9" s="211"/>
      <c r="BU9" s="211"/>
      <c r="BV9" s="209"/>
      <c r="BW9" s="211"/>
    </row>
    <row r="10" spans="1:77" x14ac:dyDescent="0.2">
      <c r="A10" s="214" t="s">
        <v>41</v>
      </c>
      <c r="B10" s="209"/>
      <c r="C10" s="209">
        <v>498485378</v>
      </c>
      <c r="D10" s="209">
        <v>642097940</v>
      </c>
      <c r="E10" s="209">
        <v>1374219883</v>
      </c>
      <c r="F10" s="209"/>
      <c r="G10" s="209">
        <v>82948045</v>
      </c>
      <c r="H10" s="209">
        <v>559886980</v>
      </c>
      <c r="I10" s="213">
        <v>366655316</v>
      </c>
      <c r="J10" s="209">
        <v>658785029</v>
      </c>
      <c r="K10" s="213">
        <v>783400653</v>
      </c>
      <c r="L10" s="209">
        <f>6760785</f>
        <v>6760785</v>
      </c>
      <c r="M10" s="213">
        <f>23374717+91875767</f>
        <v>115250484</v>
      </c>
      <c r="N10" s="209">
        <v>136391945</v>
      </c>
      <c r="O10" s="213">
        <v>222300848</v>
      </c>
      <c r="P10" s="209">
        <v>2810687000</v>
      </c>
      <c r="Q10" s="213">
        <v>2436498000</v>
      </c>
      <c r="R10" s="209">
        <v>1068814559</v>
      </c>
      <c r="S10" s="213">
        <v>202533712</v>
      </c>
      <c r="T10" s="209">
        <v>4500959065</v>
      </c>
      <c r="U10" s="213">
        <v>1818200018</v>
      </c>
      <c r="V10" s="209">
        <v>4994144425</v>
      </c>
      <c r="W10" s="213">
        <v>5509894635</v>
      </c>
      <c r="X10" s="209">
        <v>45452000</v>
      </c>
      <c r="Y10" s="213">
        <v>46481000</v>
      </c>
      <c r="Z10" s="209"/>
      <c r="AA10" s="213">
        <v>81606374</v>
      </c>
      <c r="AB10" s="209">
        <v>2040868860</v>
      </c>
      <c r="AC10" s="213">
        <v>387762671</v>
      </c>
      <c r="AD10" s="209">
        <v>11006626000</v>
      </c>
      <c r="AE10" s="213">
        <v>10847302000</v>
      </c>
      <c r="AF10" s="209"/>
      <c r="AG10" s="213">
        <v>11135000</v>
      </c>
      <c r="AH10" s="209"/>
      <c r="AI10" s="213">
        <v>236181736</v>
      </c>
      <c r="AJ10" s="209">
        <v>543424028</v>
      </c>
      <c r="AK10" s="213">
        <v>433567480</v>
      </c>
      <c r="AL10" s="209">
        <v>1788283966</v>
      </c>
      <c r="AM10" s="213">
        <v>1665674890</v>
      </c>
      <c r="AN10" s="209">
        <v>395787763</v>
      </c>
      <c r="AO10" s="213">
        <v>595497222</v>
      </c>
      <c r="AP10" s="209">
        <v>2030708285</v>
      </c>
      <c r="AQ10" s="213">
        <v>1745931542</v>
      </c>
      <c r="AR10" s="209">
        <v>541565741</v>
      </c>
      <c r="AS10" s="213">
        <v>502136556</v>
      </c>
      <c r="AT10" s="209">
        <v>532737689</v>
      </c>
      <c r="AU10" s="213">
        <v>562219501</v>
      </c>
      <c r="AV10" s="209">
        <v>49540105000</v>
      </c>
      <c r="AW10" s="213">
        <v>47695673000</v>
      </c>
      <c r="AX10" s="213">
        <v>389328399</v>
      </c>
      <c r="AY10" s="213">
        <v>813282295</v>
      </c>
      <c r="AZ10" s="213">
        <v>15803576016</v>
      </c>
      <c r="BA10" s="213">
        <v>17256906248</v>
      </c>
      <c r="BB10" s="213"/>
      <c r="BC10" s="213">
        <v>76012112</v>
      </c>
      <c r="BD10" s="213">
        <v>475509928</v>
      </c>
      <c r="BE10" s="213">
        <v>345715666</v>
      </c>
      <c r="BF10" s="213">
        <v>300214816</v>
      </c>
      <c r="BG10" s="213">
        <v>352623222</v>
      </c>
      <c r="BH10" s="213">
        <v>829762000</v>
      </c>
      <c r="BI10" s="213">
        <v>947862000</v>
      </c>
      <c r="BJ10" s="209">
        <v>43970</v>
      </c>
      <c r="BK10" s="213">
        <v>157888</v>
      </c>
      <c r="BL10" s="213">
        <v>648844796</v>
      </c>
      <c r="BM10" s="213">
        <v>749592233</v>
      </c>
      <c r="BN10" s="213">
        <v>126008105</v>
      </c>
      <c r="BO10" s="213">
        <v>133859544</v>
      </c>
      <c r="BP10" s="213">
        <v>75949</v>
      </c>
      <c r="BQ10" s="213">
        <v>164818</v>
      </c>
      <c r="BR10" s="213">
        <v>116204878</v>
      </c>
      <c r="BS10" s="213">
        <v>220115683</v>
      </c>
      <c r="BT10" s="213"/>
      <c r="BU10" s="213"/>
      <c r="BV10" s="209">
        <f>+B10+D10+F10+H10+J10+L10+N10+P10+R10+T10+V10+X10+Z10+AB10+AD10+AF10+AH10+AJ10+AL10+AN10+AP10+AR10+AT10+AV10+AX10+AZ10+BB10+BD10+BF10+BH10+BJ10+BL10+BN10+BP10+BR10</f>
        <v>102533655917</v>
      </c>
      <c r="BW10" s="209">
        <f t="shared" ref="BW10:BW11" si="0">+C10+E10+G10+I10+K10+M10+O10+Q10+S10+U10+W10+Y10+AA10+AC10+AE10+AG10+AI10+AK10+AM10+AO10+AQ10+AS10+AU10+AW10+AY10+BA10+BC10+BE10+BG10+BI10+BK10+BM10+BO10+BQ10+BS10</f>
        <v>99117847653</v>
      </c>
    </row>
    <row r="11" spans="1:77" x14ac:dyDescent="0.2">
      <c r="A11" s="214" t="s">
        <v>42</v>
      </c>
      <c r="B11" s="209"/>
      <c r="C11" s="209"/>
      <c r="D11" s="209">
        <v>597574887</v>
      </c>
      <c r="E11" s="209">
        <v>658710605</v>
      </c>
      <c r="F11" s="209"/>
      <c r="G11" s="213">
        <v>432843162</v>
      </c>
      <c r="H11" s="213">
        <v>972050847</v>
      </c>
      <c r="I11" s="213">
        <v>1121190841</v>
      </c>
      <c r="J11" s="213">
        <v>487405184</v>
      </c>
      <c r="K11" s="213">
        <v>435226650</v>
      </c>
      <c r="L11" s="213">
        <f>635558711+28981641</f>
        <v>664540352</v>
      </c>
      <c r="M11" s="213">
        <f>1132988042+25396177</f>
        <v>1158384219</v>
      </c>
      <c r="N11" s="213">
        <v>272703289</v>
      </c>
      <c r="O11" s="213">
        <v>205048775</v>
      </c>
      <c r="P11" s="213">
        <v>2937059000</v>
      </c>
      <c r="Q11" s="213">
        <v>2974976000</v>
      </c>
      <c r="R11" s="213">
        <v>761003541</v>
      </c>
      <c r="S11" s="213">
        <v>1790543156</v>
      </c>
      <c r="T11" s="213">
        <v>1023639528</v>
      </c>
      <c r="U11" s="213">
        <v>1125072017</v>
      </c>
      <c r="V11" s="213">
        <v>22865104491</v>
      </c>
      <c r="W11" s="213">
        <v>25823987966</v>
      </c>
      <c r="X11" s="213">
        <v>65551000</v>
      </c>
      <c r="Y11" s="213">
        <v>65551000</v>
      </c>
      <c r="Z11" s="213"/>
      <c r="AA11" s="213">
        <v>337097462</v>
      </c>
      <c r="AB11" s="213">
        <v>816692611</v>
      </c>
      <c r="AC11" s="213">
        <v>792942726</v>
      </c>
      <c r="AD11" s="213">
        <v>3765371000</v>
      </c>
      <c r="AE11" s="213">
        <v>3594232000</v>
      </c>
      <c r="AF11" s="213"/>
      <c r="AG11" s="213">
        <v>598384000</v>
      </c>
      <c r="AH11" s="213"/>
      <c r="AI11" s="213">
        <v>816446000</v>
      </c>
      <c r="AJ11" s="213">
        <v>923878880</v>
      </c>
      <c r="AK11" s="213">
        <v>1080395697</v>
      </c>
      <c r="AL11" s="213">
        <v>859326904</v>
      </c>
      <c r="AM11" s="213">
        <v>863777780</v>
      </c>
      <c r="AN11" s="213">
        <v>2951426113</v>
      </c>
      <c r="AO11" s="213">
        <v>2951030744</v>
      </c>
      <c r="AP11" s="213">
        <v>661080241</v>
      </c>
      <c r="AQ11" s="213">
        <v>778747403</v>
      </c>
      <c r="AR11" s="213">
        <v>142390917</v>
      </c>
      <c r="AS11" s="213">
        <v>179090631</v>
      </c>
      <c r="AT11" s="213">
        <v>668867460</v>
      </c>
      <c r="AU11" s="213">
        <v>687769559</v>
      </c>
      <c r="AV11" s="213">
        <v>242242119000</v>
      </c>
      <c r="AW11" s="213">
        <v>211332570000</v>
      </c>
      <c r="AX11" s="213">
        <v>953504533</v>
      </c>
      <c r="AY11" s="213">
        <v>853504533</v>
      </c>
      <c r="AZ11" s="213">
        <v>4473668358</v>
      </c>
      <c r="BA11" s="213">
        <v>5152662052</v>
      </c>
      <c r="BB11" s="213"/>
      <c r="BC11" s="213">
        <v>380250215</v>
      </c>
      <c r="BD11" s="213">
        <v>1167021398</v>
      </c>
      <c r="BE11" s="213">
        <v>5491258347</v>
      </c>
      <c r="BF11" s="213">
        <v>2462320081</v>
      </c>
      <c r="BG11" s="213">
        <v>2638441334</v>
      </c>
      <c r="BH11" s="213">
        <v>51434000</v>
      </c>
      <c r="BI11" s="213">
        <v>39167000</v>
      </c>
      <c r="BJ11" s="213">
        <v>124190</v>
      </c>
      <c r="BK11" s="213">
        <v>92390</v>
      </c>
      <c r="BL11" s="213">
        <v>2542512993</v>
      </c>
      <c r="BM11" s="213">
        <v>2446483294</v>
      </c>
      <c r="BN11" s="213">
        <v>53330984</v>
      </c>
      <c r="BO11" s="213">
        <v>47887400</v>
      </c>
      <c r="BP11" s="213">
        <v>604122</v>
      </c>
      <c r="BQ11" s="213">
        <v>604122</v>
      </c>
      <c r="BR11" s="213">
        <v>366122910</v>
      </c>
      <c r="BS11" s="213">
        <v>373362911</v>
      </c>
      <c r="BT11" s="213"/>
      <c r="BU11" s="213"/>
      <c r="BV11" s="209">
        <f t="shared" ref="BV11" si="1">+B11+D11+F11+H11+J11+L11+N11+P11+R11+T11+V11+X11+Z11+AB11+AD11+AF11+AH11+AJ11+AL11+AN11+AP11+AR11+AT11+AV11+AX11+AZ11+BB11+BD11+BF11+BH11+BJ11+BL11+BN11+BP11+BR11</f>
        <v>295748428814</v>
      </c>
      <c r="BW11" s="209">
        <f t="shared" si="0"/>
        <v>277227731991</v>
      </c>
      <c r="BX11" s="292"/>
    </row>
    <row r="12" spans="1:77" s="224" customFormat="1" x14ac:dyDescent="0.2">
      <c r="A12" s="223" t="s">
        <v>43</v>
      </c>
      <c r="B12" s="210">
        <f t="shared" ref="B12:AG12" si="2">+B10+B11</f>
        <v>0</v>
      </c>
      <c r="C12" s="210">
        <f t="shared" si="2"/>
        <v>498485378</v>
      </c>
      <c r="D12" s="210">
        <f t="shared" si="2"/>
        <v>1239672827</v>
      </c>
      <c r="E12" s="210">
        <f t="shared" si="2"/>
        <v>2032930488</v>
      </c>
      <c r="F12" s="210">
        <f t="shared" si="2"/>
        <v>0</v>
      </c>
      <c r="G12" s="210">
        <f t="shared" si="2"/>
        <v>515791207</v>
      </c>
      <c r="H12" s="210">
        <f t="shared" si="2"/>
        <v>1531937827</v>
      </c>
      <c r="I12" s="210">
        <f t="shared" si="2"/>
        <v>1487846157</v>
      </c>
      <c r="J12" s="210">
        <f t="shared" si="2"/>
        <v>1146190213</v>
      </c>
      <c r="K12" s="210">
        <f t="shared" si="2"/>
        <v>1218627303</v>
      </c>
      <c r="L12" s="210">
        <f t="shared" si="2"/>
        <v>671301137</v>
      </c>
      <c r="M12" s="210">
        <f t="shared" si="2"/>
        <v>1273634703</v>
      </c>
      <c r="N12" s="210">
        <f t="shared" si="2"/>
        <v>409095234</v>
      </c>
      <c r="O12" s="210">
        <f t="shared" si="2"/>
        <v>427349623</v>
      </c>
      <c r="P12" s="210">
        <f t="shared" si="2"/>
        <v>5747746000</v>
      </c>
      <c r="Q12" s="210">
        <f t="shared" si="2"/>
        <v>5411474000</v>
      </c>
      <c r="R12" s="210">
        <f t="shared" si="2"/>
        <v>1829818100</v>
      </c>
      <c r="S12" s="210">
        <f t="shared" si="2"/>
        <v>1993076868</v>
      </c>
      <c r="T12" s="210">
        <f t="shared" si="2"/>
        <v>5524598593</v>
      </c>
      <c r="U12" s="210">
        <f t="shared" si="2"/>
        <v>2943272035</v>
      </c>
      <c r="V12" s="210">
        <f t="shared" si="2"/>
        <v>27859248916</v>
      </c>
      <c r="W12" s="210">
        <f t="shared" si="2"/>
        <v>31333882601</v>
      </c>
      <c r="X12" s="210">
        <f t="shared" si="2"/>
        <v>111003000</v>
      </c>
      <c r="Y12" s="210">
        <f t="shared" si="2"/>
        <v>112032000</v>
      </c>
      <c r="Z12" s="210">
        <f t="shared" si="2"/>
        <v>0</v>
      </c>
      <c r="AA12" s="210">
        <f t="shared" si="2"/>
        <v>418703836</v>
      </c>
      <c r="AB12" s="210">
        <f t="shared" si="2"/>
        <v>2857561471</v>
      </c>
      <c r="AC12" s="210">
        <f t="shared" si="2"/>
        <v>1180705397</v>
      </c>
      <c r="AD12" s="210">
        <f t="shared" si="2"/>
        <v>14771997000</v>
      </c>
      <c r="AE12" s="210">
        <f t="shared" si="2"/>
        <v>14441534000</v>
      </c>
      <c r="AF12" s="210">
        <f t="shared" si="2"/>
        <v>0</v>
      </c>
      <c r="AG12" s="210">
        <f t="shared" si="2"/>
        <v>609519000</v>
      </c>
      <c r="AH12" s="210">
        <f t="shared" ref="AH12:BW12" si="3">+AH10+AH11</f>
        <v>0</v>
      </c>
      <c r="AI12" s="210">
        <f t="shared" si="3"/>
        <v>1052627736</v>
      </c>
      <c r="AJ12" s="210">
        <f t="shared" si="3"/>
        <v>1467302908</v>
      </c>
      <c r="AK12" s="210">
        <f t="shared" si="3"/>
        <v>1513963177</v>
      </c>
      <c r="AL12" s="210">
        <f t="shared" si="3"/>
        <v>2647610870</v>
      </c>
      <c r="AM12" s="210">
        <f t="shared" si="3"/>
        <v>2529452670</v>
      </c>
      <c r="AN12" s="210">
        <f t="shared" si="3"/>
        <v>3347213876</v>
      </c>
      <c r="AO12" s="210">
        <f t="shared" si="3"/>
        <v>3546527966</v>
      </c>
      <c r="AP12" s="210">
        <f t="shared" si="3"/>
        <v>2691788526</v>
      </c>
      <c r="AQ12" s="210">
        <f t="shared" si="3"/>
        <v>2524678945</v>
      </c>
      <c r="AR12" s="210">
        <f t="shared" si="3"/>
        <v>683956658</v>
      </c>
      <c r="AS12" s="210">
        <f t="shared" si="3"/>
        <v>681227187</v>
      </c>
      <c r="AT12" s="210">
        <f t="shared" si="3"/>
        <v>1201605149</v>
      </c>
      <c r="AU12" s="210">
        <f t="shared" si="3"/>
        <v>1249989060</v>
      </c>
      <c r="AV12" s="210">
        <f t="shared" si="3"/>
        <v>291782224000</v>
      </c>
      <c r="AW12" s="210">
        <f t="shared" si="3"/>
        <v>259028243000</v>
      </c>
      <c r="AX12" s="210">
        <f t="shared" si="3"/>
        <v>1342832932</v>
      </c>
      <c r="AY12" s="210">
        <f t="shared" si="3"/>
        <v>1666786828</v>
      </c>
      <c r="AZ12" s="210">
        <f t="shared" si="3"/>
        <v>20277244374</v>
      </c>
      <c r="BA12" s="210">
        <f t="shared" si="3"/>
        <v>22409568300</v>
      </c>
      <c r="BB12" s="210">
        <f t="shared" si="3"/>
        <v>0</v>
      </c>
      <c r="BC12" s="210">
        <f t="shared" si="3"/>
        <v>456262327</v>
      </c>
      <c r="BD12" s="210">
        <f t="shared" si="3"/>
        <v>1642531326</v>
      </c>
      <c r="BE12" s="210">
        <f t="shared" si="3"/>
        <v>5836974013</v>
      </c>
      <c r="BF12" s="210">
        <f t="shared" si="3"/>
        <v>2762534897</v>
      </c>
      <c r="BG12" s="210">
        <f t="shared" si="3"/>
        <v>2991064556</v>
      </c>
      <c r="BH12" s="210">
        <f t="shared" si="3"/>
        <v>881196000</v>
      </c>
      <c r="BI12" s="210">
        <f t="shared" si="3"/>
        <v>987029000</v>
      </c>
      <c r="BJ12" s="210">
        <f t="shared" ref="BJ12:BU12" si="4">+BJ10+BJ11</f>
        <v>168160</v>
      </c>
      <c r="BK12" s="210">
        <f t="shared" si="4"/>
        <v>250278</v>
      </c>
      <c r="BL12" s="210">
        <f t="shared" si="4"/>
        <v>3191357789</v>
      </c>
      <c r="BM12" s="210">
        <f t="shared" si="4"/>
        <v>3196075527</v>
      </c>
      <c r="BN12" s="210">
        <f t="shared" si="4"/>
        <v>179339089</v>
      </c>
      <c r="BO12" s="210">
        <f t="shared" si="4"/>
        <v>181746944</v>
      </c>
      <c r="BP12" s="210">
        <f t="shared" si="4"/>
        <v>680071</v>
      </c>
      <c r="BQ12" s="210">
        <f t="shared" si="4"/>
        <v>768940</v>
      </c>
      <c r="BR12" s="210">
        <f t="shared" si="4"/>
        <v>482327788</v>
      </c>
      <c r="BS12" s="210">
        <f t="shared" si="4"/>
        <v>593478594</v>
      </c>
      <c r="BT12" s="210">
        <f t="shared" si="4"/>
        <v>0</v>
      </c>
      <c r="BU12" s="210">
        <f t="shared" si="4"/>
        <v>0</v>
      </c>
      <c r="BV12" s="210">
        <f t="shared" si="3"/>
        <v>398282084731</v>
      </c>
      <c r="BW12" s="210">
        <f t="shared" si="3"/>
        <v>376345579644</v>
      </c>
      <c r="BX12" s="293"/>
      <c r="BY12" s="293"/>
    </row>
    <row r="13" spans="1:77" x14ac:dyDescent="0.2">
      <c r="A13" s="218" t="s">
        <v>44</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row>
    <row r="14" spans="1:77" x14ac:dyDescent="0.2">
      <c r="A14" s="214" t="s">
        <v>45</v>
      </c>
      <c r="B14" s="209"/>
      <c r="C14" s="209">
        <v>152771322</v>
      </c>
      <c r="D14" s="209">
        <v>1034694601</v>
      </c>
      <c r="E14" s="209">
        <v>1831163147</v>
      </c>
      <c r="F14" s="209"/>
      <c r="G14" s="213">
        <v>85848655</v>
      </c>
      <c r="H14" s="213">
        <v>146462220</v>
      </c>
      <c r="I14" s="213">
        <v>81495925</v>
      </c>
      <c r="J14" s="213">
        <v>267040494</v>
      </c>
      <c r="K14" s="213">
        <v>366264994</v>
      </c>
      <c r="L14" s="213">
        <v>327850439</v>
      </c>
      <c r="M14" s="213">
        <v>50062651</v>
      </c>
      <c r="N14" s="213">
        <v>178411888</v>
      </c>
      <c r="O14" s="213">
        <v>197935270</v>
      </c>
      <c r="P14" s="213">
        <v>2486170000</v>
      </c>
      <c r="Q14" s="213">
        <v>2272260000</v>
      </c>
      <c r="R14" s="213">
        <v>160838006</v>
      </c>
      <c r="S14" s="213">
        <v>484268029</v>
      </c>
      <c r="T14" s="213">
        <v>4865675206</v>
      </c>
      <c r="U14" s="213">
        <v>1758760392</v>
      </c>
      <c r="V14" s="213">
        <v>1469980418</v>
      </c>
      <c r="W14" s="213">
        <v>2322978257</v>
      </c>
      <c r="X14" s="213">
        <v>5491000</v>
      </c>
      <c r="Y14" s="213">
        <v>5121000</v>
      </c>
      <c r="Z14" s="213"/>
      <c r="AA14" s="213">
        <v>505245501</v>
      </c>
      <c r="AB14" s="213">
        <v>588832905</v>
      </c>
      <c r="AC14" s="213">
        <v>536030344</v>
      </c>
      <c r="AD14" s="213">
        <v>11024461000</v>
      </c>
      <c r="AE14" s="213">
        <v>10541674000</v>
      </c>
      <c r="AF14" s="213"/>
      <c r="AG14" s="213">
        <v>9293000</v>
      </c>
      <c r="AH14" s="213"/>
      <c r="AI14" s="213">
        <v>84284864</v>
      </c>
      <c r="AJ14" s="213">
        <v>839532978</v>
      </c>
      <c r="AK14" s="213">
        <v>249134637</v>
      </c>
      <c r="AL14" s="213">
        <v>509371279</v>
      </c>
      <c r="AM14" s="213">
        <v>1275340974</v>
      </c>
      <c r="AN14" s="213">
        <v>2238245225</v>
      </c>
      <c r="AO14" s="213">
        <v>2554554434</v>
      </c>
      <c r="AP14" s="213">
        <v>660592348</v>
      </c>
      <c r="AQ14" s="213">
        <v>564588440</v>
      </c>
      <c r="AR14" s="213">
        <v>10012936</v>
      </c>
      <c r="AS14" s="213">
        <v>8315703</v>
      </c>
      <c r="AT14" s="213">
        <v>238615723</v>
      </c>
      <c r="AU14" s="213">
        <v>665393407</v>
      </c>
      <c r="AV14" s="213">
        <v>8186948000</v>
      </c>
      <c r="AW14" s="213">
        <v>2690663000</v>
      </c>
      <c r="AX14" s="213">
        <v>326754434</v>
      </c>
      <c r="AY14" s="213">
        <v>715724938</v>
      </c>
      <c r="AZ14" s="213">
        <v>3345247558</v>
      </c>
      <c r="BA14" s="213">
        <v>1658344138</v>
      </c>
      <c r="BB14" s="213"/>
      <c r="BC14" s="213">
        <v>25840190</v>
      </c>
      <c r="BD14" s="213">
        <v>693852291</v>
      </c>
      <c r="BE14" s="213">
        <v>294584007</v>
      </c>
      <c r="BF14" s="213">
        <v>1598081020</v>
      </c>
      <c r="BG14" s="213">
        <v>1810400167</v>
      </c>
      <c r="BH14" s="213">
        <v>14936000</v>
      </c>
      <c r="BI14" s="213"/>
      <c r="BJ14" s="213">
        <v>1799</v>
      </c>
      <c r="BK14" s="213">
        <v>31995</v>
      </c>
      <c r="BL14" s="213">
        <v>167541217</v>
      </c>
      <c r="BM14" s="213">
        <v>169539843</v>
      </c>
      <c r="BN14" s="213">
        <v>59976597</v>
      </c>
      <c r="BO14" s="213">
        <v>80591841</v>
      </c>
      <c r="BP14" s="213">
        <v>633468</v>
      </c>
      <c r="BQ14" s="213">
        <v>247193</v>
      </c>
      <c r="BR14" s="213">
        <v>58359068</v>
      </c>
      <c r="BS14" s="213">
        <v>159233934</v>
      </c>
      <c r="BT14" s="213"/>
      <c r="BU14" s="213"/>
      <c r="BV14" s="209">
        <f t="shared" ref="BV14:BV15" si="5">+B14+D14+F14+H14+J14+L14+N14+P14+R14+T14+V14+X14+Z14+AB14+AD14+AF14+AH14+AJ14+AL14+AN14+AP14+AR14+AT14+AV14+AX14+AZ14+BB14+BD14+BF14+BH14+BJ14+BL14+BN14+BP14+BR14</f>
        <v>41504610118</v>
      </c>
      <c r="BW14" s="209">
        <f t="shared" ref="BW14:BW15" si="6">+C14+E14+G14+I14+K14+M14+O14+Q14+S14+U14+W14+Y14+AA14+AC14+AE14+AG14+AI14+AK14+AM14+AO14+AQ14+AS14+AU14+AW14+AY14+BA14+BC14+BE14+BG14+BI14+BK14+BM14+BO14+BQ14+BS14</f>
        <v>34207986192</v>
      </c>
    </row>
    <row r="15" spans="1:77" x14ac:dyDescent="0.2">
      <c r="A15" s="226" t="s">
        <v>46</v>
      </c>
      <c r="B15" s="209"/>
      <c r="C15" s="209"/>
      <c r="D15" s="209"/>
      <c r="E15" s="209"/>
      <c r="F15" s="209"/>
      <c r="G15" s="209"/>
      <c r="H15" s="213">
        <v>121888179</v>
      </c>
      <c r="I15" s="213">
        <v>52849180</v>
      </c>
      <c r="J15" s="213">
        <v>672308022</v>
      </c>
      <c r="K15" s="213">
        <v>592670754</v>
      </c>
      <c r="L15" s="213"/>
      <c r="M15" s="213">
        <v>0</v>
      </c>
      <c r="N15" s="213">
        <v>30226000</v>
      </c>
      <c r="O15" s="213"/>
      <c r="P15" s="213">
        <v>1697517000</v>
      </c>
      <c r="Q15" s="213">
        <v>1480575000</v>
      </c>
      <c r="R15" s="213">
        <v>0</v>
      </c>
      <c r="S15" s="213">
        <v>0</v>
      </c>
      <c r="T15" s="213"/>
      <c r="U15" s="213"/>
      <c r="V15" s="213">
        <v>17515927517</v>
      </c>
      <c r="W15" s="213">
        <v>18826568474</v>
      </c>
      <c r="X15" s="213"/>
      <c r="Y15" s="213"/>
      <c r="Z15" s="213"/>
      <c r="AA15" s="213"/>
      <c r="AB15" s="213"/>
      <c r="AC15" s="213"/>
      <c r="AD15" s="213"/>
      <c r="AE15" s="213"/>
      <c r="AF15" s="213"/>
      <c r="AG15" s="213"/>
      <c r="AH15" s="213"/>
      <c r="AI15" s="213"/>
      <c r="AJ15" s="213">
        <v>100000000</v>
      </c>
      <c r="AK15" s="213">
        <v>769157586</v>
      </c>
      <c r="AL15" s="213">
        <v>1753100933</v>
      </c>
      <c r="AM15" s="213">
        <v>1446725784</v>
      </c>
      <c r="AN15" s="213">
        <v>507753854</v>
      </c>
      <c r="AO15" s="213">
        <v>375717625</v>
      </c>
      <c r="AP15" s="213">
        <v>929273323</v>
      </c>
      <c r="AQ15" s="213">
        <v>835126483</v>
      </c>
      <c r="AR15" s="213">
        <v>222860732</v>
      </c>
      <c r="AS15" s="213">
        <v>140998918</v>
      </c>
      <c r="AT15" s="213">
        <v>556697509</v>
      </c>
      <c r="AU15" s="213">
        <v>309858937</v>
      </c>
      <c r="AV15" s="213">
        <v>248430452000</v>
      </c>
      <c r="AW15" s="213">
        <v>213439687000</v>
      </c>
      <c r="AX15" s="213"/>
      <c r="AY15" s="213"/>
      <c r="AZ15" s="213"/>
      <c r="BA15" s="213"/>
      <c r="BB15" s="213"/>
      <c r="BC15" s="213"/>
      <c r="BD15" s="213">
        <v>0</v>
      </c>
      <c r="BE15" s="213">
        <v>339869339</v>
      </c>
      <c r="BF15" s="213">
        <v>687060950</v>
      </c>
      <c r="BG15" s="213">
        <v>681207088</v>
      </c>
      <c r="BH15" s="213">
        <v>56783000</v>
      </c>
      <c r="BI15" s="213">
        <v>59004000</v>
      </c>
      <c r="BJ15" s="213"/>
      <c r="BK15" s="213"/>
      <c r="BL15" s="213">
        <v>1195135034</v>
      </c>
      <c r="BM15" s="213">
        <v>1195135034</v>
      </c>
      <c r="BN15" s="213">
        <v>31085777</v>
      </c>
      <c r="BO15" s="213"/>
      <c r="BP15" s="213"/>
      <c r="BQ15" s="213"/>
      <c r="BR15" s="213">
        <v>7369823</v>
      </c>
      <c r="BS15" s="213">
        <v>1722002</v>
      </c>
      <c r="BT15" s="213"/>
      <c r="BU15" s="213"/>
      <c r="BV15" s="209">
        <f t="shared" si="5"/>
        <v>274515439653</v>
      </c>
      <c r="BW15" s="209">
        <f t="shared" si="6"/>
        <v>240546873204</v>
      </c>
    </row>
    <row r="16" spans="1:77" s="224" customFormat="1" x14ac:dyDescent="0.2">
      <c r="A16" s="223" t="s">
        <v>47</v>
      </c>
      <c r="B16" s="210">
        <f t="shared" ref="B16:AG16" si="7">+B14+B15</f>
        <v>0</v>
      </c>
      <c r="C16" s="210">
        <f t="shared" si="7"/>
        <v>152771322</v>
      </c>
      <c r="D16" s="210">
        <f t="shared" si="7"/>
        <v>1034694601</v>
      </c>
      <c r="E16" s="210">
        <f t="shared" si="7"/>
        <v>1831163147</v>
      </c>
      <c r="F16" s="210">
        <f t="shared" si="7"/>
        <v>0</v>
      </c>
      <c r="G16" s="210">
        <f t="shared" si="7"/>
        <v>85848655</v>
      </c>
      <c r="H16" s="210">
        <f t="shared" si="7"/>
        <v>268350399</v>
      </c>
      <c r="I16" s="210">
        <f t="shared" si="7"/>
        <v>134345105</v>
      </c>
      <c r="J16" s="210">
        <f t="shared" si="7"/>
        <v>939348516</v>
      </c>
      <c r="K16" s="210">
        <f t="shared" si="7"/>
        <v>958935748</v>
      </c>
      <c r="L16" s="210">
        <f t="shared" si="7"/>
        <v>327850439</v>
      </c>
      <c r="M16" s="210">
        <f t="shared" si="7"/>
        <v>50062651</v>
      </c>
      <c r="N16" s="210">
        <f t="shared" si="7"/>
        <v>208637888</v>
      </c>
      <c r="O16" s="210">
        <f t="shared" si="7"/>
        <v>197935270</v>
      </c>
      <c r="P16" s="210">
        <f t="shared" si="7"/>
        <v>4183687000</v>
      </c>
      <c r="Q16" s="210">
        <f t="shared" si="7"/>
        <v>3752835000</v>
      </c>
      <c r="R16" s="210">
        <f t="shared" si="7"/>
        <v>160838006</v>
      </c>
      <c r="S16" s="210">
        <f t="shared" si="7"/>
        <v>484268029</v>
      </c>
      <c r="T16" s="210">
        <f t="shared" si="7"/>
        <v>4865675206</v>
      </c>
      <c r="U16" s="210">
        <f t="shared" si="7"/>
        <v>1758760392</v>
      </c>
      <c r="V16" s="210">
        <f t="shared" si="7"/>
        <v>18985907935</v>
      </c>
      <c r="W16" s="210">
        <f t="shared" si="7"/>
        <v>21149546731</v>
      </c>
      <c r="X16" s="210">
        <f t="shared" si="7"/>
        <v>5491000</v>
      </c>
      <c r="Y16" s="210">
        <f t="shared" si="7"/>
        <v>5121000</v>
      </c>
      <c r="Z16" s="210">
        <f t="shared" si="7"/>
        <v>0</v>
      </c>
      <c r="AA16" s="210">
        <f t="shared" si="7"/>
        <v>505245501</v>
      </c>
      <c r="AB16" s="210">
        <f t="shared" si="7"/>
        <v>588832905</v>
      </c>
      <c r="AC16" s="210">
        <f t="shared" si="7"/>
        <v>536030344</v>
      </c>
      <c r="AD16" s="210">
        <f t="shared" si="7"/>
        <v>11024461000</v>
      </c>
      <c r="AE16" s="210">
        <f t="shared" si="7"/>
        <v>10541674000</v>
      </c>
      <c r="AF16" s="210">
        <f t="shared" si="7"/>
        <v>0</v>
      </c>
      <c r="AG16" s="210">
        <f t="shared" si="7"/>
        <v>9293000</v>
      </c>
      <c r="AH16" s="210">
        <f t="shared" ref="AH16:BW16" si="8">+AH14+AH15</f>
        <v>0</v>
      </c>
      <c r="AI16" s="210">
        <f t="shared" si="8"/>
        <v>84284864</v>
      </c>
      <c r="AJ16" s="210">
        <f t="shared" si="8"/>
        <v>939532978</v>
      </c>
      <c r="AK16" s="210">
        <f t="shared" si="8"/>
        <v>1018292223</v>
      </c>
      <c r="AL16" s="210">
        <f t="shared" si="8"/>
        <v>2262472212</v>
      </c>
      <c r="AM16" s="210">
        <f t="shared" si="8"/>
        <v>2722066758</v>
      </c>
      <c r="AN16" s="210">
        <f t="shared" si="8"/>
        <v>2745999079</v>
      </c>
      <c r="AO16" s="210">
        <f t="shared" si="8"/>
        <v>2930272059</v>
      </c>
      <c r="AP16" s="210">
        <f t="shared" si="8"/>
        <v>1589865671</v>
      </c>
      <c r="AQ16" s="210">
        <f t="shared" si="8"/>
        <v>1399714923</v>
      </c>
      <c r="AR16" s="210">
        <f t="shared" si="8"/>
        <v>232873668</v>
      </c>
      <c r="AS16" s="210">
        <f t="shared" si="8"/>
        <v>149314621</v>
      </c>
      <c r="AT16" s="210">
        <f t="shared" si="8"/>
        <v>795313232</v>
      </c>
      <c r="AU16" s="210">
        <f t="shared" si="8"/>
        <v>975252344</v>
      </c>
      <c r="AV16" s="210">
        <f t="shared" si="8"/>
        <v>256617400000</v>
      </c>
      <c r="AW16" s="210">
        <f t="shared" si="8"/>
        <v>216130350000</v>
      </c>
      <c r="AX16" s="210">
        <f t="shared" si="8"/>
        <v>326754434</v>
      </c>
      <c r="AY16" s="210">
        <f t="shared" si="8"/>
        <v>715724938</v>
      </c>
      <c r="AZ16" s="210">
        <f t="shared" si="8"/>
        <v>3345247558</v>
      </c>
      <c r="BA16" s="210">
        <f t="shared" si="8"/>
        <v>1658344138</v>
      </c>
      <c r="BB16" s="210">
        <f t="shared" si="8"/>
        <v>0</v>
      </c>
      <c r="BC16" s="210">
        <f t="shared" si="8"/>
        <v>25840190</v>
      </c>
      <c r="BD16" s="210">
        <f t="shared" si="8"/>
        <v>693852291</v>
      </c>
      <c r="BE16" s="210">
        <f t="shared" si="8"/>
        <v>634453346</v>
      </c>
      <c r="BF16" s="210">
        <f t="shared" si="8"/>
        <v>2285141970</v>
      </c>
      <c r="BG16" s="210">
        <f t="shared" si="8"/>
        <v>2491607255</v>
      </c>
      <c r="BH16" s="210">
        <f t="shared" si="8"/>
        <v>71719000</v>
      </c>
      <c r="BI16" s="210">
        <f t="shared" si="8"/>
        <v>59004000</v>
      </c>
      <c r="BJ16" s="210">
        <f t="shared" ref="BJ16:BU16" si="9">+BJ14+BJ15</f>
        <v>1799</v>
      </c>
      <c r="BK16" s="210">
        <f t="shared" si="9"/>
        <v>31995</v>
      </c>
      <c r="BL16" s="210">
        <f t="shared" si="9"/>
        <v>1362676251</v>
      </c>
      <c r="BM16" s="210">
        <f t="shared" si="9"/>
        <v>1364674877</v>
      </c>
      <c r="BN16" s="210">
        <f t="shared" si="9"/>
        <v>91062374</v>
      </c>
      <c r="BO16" s="210">
        <f t="shared" si="9"/>
        <v>80591841</v>
      </c>
      <c r="BP16" s="210">
        <f t="shared" si="9"/>
        <v>633468</v>
      </c>
      <c r="BQ16" s="210">
        <f t="shared" si="9"/>
        <v>247193</v>
      </c>
      <c r="BR16" s="210">
        <f t="shared" si="9"/>
        <v>65728891</v>
      </c>
      <c r="BS16" s="210">
        <f t="shared" si="9"/>
        <v>160955936</v>
      </c>
      <c r="BT16" s="210">
        <f t="shared" si="9"/>
        <v>0</v>
      </c>
      <c r="BU16" s="210">
        <f t="shared" si="9"/>
        <v>0</v>
      </c>
      <c r="BV16" s="210">
        <f t="shared" si="8"/>
        <v>316020049771</v>
      </c>
      <c r="BW16" s="210">
        <f t="shared" si="8"/>
        <v>274754859396</v>
      </c>
    </row>
    <row r="17" spans="1:75" x14ac:dyDescent="0.2">
      <c r="A17" s="218" t="s">
        <v>48</v>
      </c>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row>
    <row r="18" spans="1:75" x14ac:dyDescent="0.2">
      <c r="A18" s="214" t="s">
        <v>94</v>
      </c>
      <c r="B18" s="209"/>
      <c r="C18" s="209">
        <f>130200000</f>
        <v>130200000</v>
      </c>
      <c r="D18" s="209">
        <v>80000000</v>
      </c>
      <c r="E18" s="209">
        <v>80000000</v>
      </c>
      <c r="F18" s="209"/>
      <c r="G18" s="209">
        <v>265000000</v>
      </c>
      <c r="H18" s="213">
        <v>381260000</v>
      </c>
      <c r="I18" s="213">
        <v>381260000</v>
      </c>
      <c r="J18" s="213">
        <v>63000000</v>
      </c>
      <c r="K18" s="213">
        <v>63000000</v>
      </c>
      <c r="L18" s="213">
        <v>392000000</v>
      </c>
      <c r="M18" s="213">
        <f>1459344188+40655812</f>
        <v>1500000000</v>
      </c>
      <c r="N18" s="213">
        <v>250000000</v>
      </c>
      <c r="O18" s="213">
        <v>250000000</v>
      </c>
      <c r="P18" s="213">
        <v>750000000</v>
      </c>
      <c r="Q18" s="213">
        <v>750000000</v>
      </c>
      <c r="R18" s="213">
        <f>300000000+640760829</f>
        <v>940760829</v>
      </c>
      <c r="S18" s="213">
        <f>300000000+640760829</f>
        <v>940760829</v>
      </c>
      <c r="T18" s="213">
        <v>300000000</v>
      </c>
      <c r="U18" s="213">
        <v>300000000</v>
      </c>
      <c r="V18" s="213">
        <v>1501000000</v>
      </c>
      <c r="W18" s="213">
        <v>1501000000</v>
      </c>
      <c r="X18" s="213">
        <v>180000000</v>
      </c>
      <c r="Y18" s="213">
        <v>180000000</v>
      </c>
      <c r="Z18" s="213"/>
      <c r="AA18" s="213">
        <v>420000000</v>
      </c>
      <c r="AB18" s="213">
        <v>500000000</v>
      </c>
      <c r="AC18" s="213">
        <v>500000000</v>
      </c>
      <c r="AD18" s="213">
        <v>900000000</v>
      </c>
      <c r="AE18" s="213">
        <v>900000000</v>
      </c>
      <c r="AF18" s="213"/>
      <c r="AG18" s="213">
        <v>380000000</v>
      </c>
      <c r="AH18" s="213"/>
      <c r="AI18" s="213">
        <v>53000000</v>
      </c>
      <c r="AJ18" s="213">
        <v>430000000</v>
      </c>
      <c r="AK18" s="213">
        <v>430000000</v>
      </c>
      <c r="AL18" s="213">
        <v>420000000</v>
      </c>
      <c r="AM18" s="213">
        <v>420000000</v>
      </c>
      <c r="AN18" s="213">
        <v>457884000</v>
      </c>
      <c r="AO18" s="213">
        <v>457884000</v>
      </c>
      <c r="AP18" s="213">
        <v>322175000</v>
      </c>
      <c r="AQ18" s="213">
        <v>322175000</v>
      </c>
      <c r="AR18" s="213">
        <v>222000000</v>
      </c>
      <c r="AS18" s="213">
        <v>222000000</v>
      </c>
      <c r="AT18" s="213">
        <v>369000000</v>
      </c>
      <c r="AU18" s="213">
        <v>369000000</v>
      </c>
      <c r="AV18" s="213">
        <v>1500000000</v>
      </c>
      <c r="AW18" s="213">
        <v>1500000000</v>
      </c>
      <c r="AX18" s="213">
        <v>691260000</v>
      </c>
      <c r="AY18" s="213">
        <v>691260000</v>
      </c>
      <c r="AZ18" s="213">
        <v>300000000</v>
      </c>
      <c r="BA18" s="213">
        <v>300000000</v>
      </c>
      <c r="BB18" s="213"/>
      <c r="BC18" s="213">
        <v>369000000</v>
      </c>
      <c r="BD18" s="213">
        <v>800000000</v>
      </c>
      <c r="BE18" s="213">
        <v>800000000</v>
      </c>
      <c r="BF18" s="213">
        <v>300000000</v>
      </c>
      <c r="BG18" s="213">
        <v>300000000</v>
      </c>
      <c r="BH18" s="213">
        <v>483000000</v>
      </c>
      <c r="BI18" s="213">
        <v>848919000</v>
      </c>
      <c r="BJ18" s="213">
        <v>207000</v>
      </c>
      <c r="BK18" s="213">
        <v>207000</v>
      </c>
      <c r="BL18" s="213">
        <v>700000000</v>
      </c>
      <c r="BM18" s="213">
        <v>700000000</v>
      </c>
      <c r="BN18" s="213">
        <v>110000000</v>
      </c>
      <c r="BO18" s="213">
        <v>110000000</v>
      </c>
      <c r="BP18" s="213">
        <v>460000</v>
      </c>
      <c r="BQ18" s="213">
        <v>920000</v>
      </c>
      <c r="BR18" s="213">
        <v>340000000</v>
      </c>
      <c r="BS18" s="213">
        <v>340000000</v>
      </c>
      <c r="BT18" s="213"/>
      <c r="BU18" s="213"/>
      <c r="BV18" s="209">
        <f t="shared" ref="BV18:BV31" si="10">+B18+D18+F18+H18+J18+L18+N18+P18+R18+T18+V18+X18+Z18+AB18+AD18+AF18+AH18+AJ18+AL18+AN18+AP18+AR18+AT18+AV18+AX18+AZ18+BB18+BD18+BF18+BH18+BJ18+BL18+BN18+BP18+BR18</f>
        <v>13684006829</v>
      </c>
      <c r="BW18" s="209">
        <f t="shared" ref="BW18:BW31" si="11">+C18+E18+G18+I18+K18+M18+O18+Q18+S18+U18+W18+Y18+AA18+AC18+AE18+AG18+AI18+AK18+AM18+AO18+AQ18+AS18+AU18+AW18+AY18+BA18+BC18+BE18+BG18+BI18+BK18+BM18+BO18+BQ18+BS18</f>
        <v>16775585829</v>
      </c>
    </row>
    <row r="19" spans="1:75" x14ac:dyDescent="0.2">
      <c r="A19" s="214" t="s">
        <v>182</v>
      </c>
      <c r="B19" s="209"/>
      <c r="C19" s="209"/>
      <c r="D19" s="209"/>
      <c r="E19" s="209"/>
      <c r="F19" s="209"/>
      <c r="G19" s="209"/>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c r="BT19" s="213"/>
      <c r="BU19" s="213"/>
      <c r="BV19" s="209">
        <f t="shared" si="10"/>
        <v>0</v>
      </c>
      <c r="BW19" s="209">
        <f t="shared" si="11"/>
        <v>0</v>
      </c>
    </row>
    <row r="20" spans="1:75" x14ac:dyDescent="0.2">
      <c r="A20" s="214" t="s">
        <v>181</v>
      </c>
      <c r="B20" s="209"/>
      <c r="C20" s="209"/>
      <c r="D20" s="209"/>
      <c r="E20" s="209"/>
      <c r="F20" s="209"/>
      <c r="G20" s="209"/>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09">
        <f t="shared" si="10"/>
        <v>0</v>
      </c>
      <c r="BW20" s="209">
        <f t="shared" si="11"/>
        <v>0</v>
      </c>
    </row>
    <row r="21" spans="1:75" s="216" customFormat="1" x14ac:dyDescent="0.2">
      <c r="A21" s="214" t="s">
        <v>50</v>
      </c>
      <c r="B21" s="209"/>
      <c r="C21" s="209">
        <f>13130925+28000</f>
        <v>13158925</v>
      </c>
      <c r="D21" s="209">
        <v>40000000</v>
      </c>
      <c r="E21" s="209">
        <v>40000000</v>
      </c>
      <c r="F21" s="209"/>
      <c r="G21" s="209"/>
      <c r="H21" s="213">
        <v>50218401</v>
      </c>
      <c r="I21" s="213">
        <v>59210125</v>
      </c>
      <c r="J21" s="213">
        <v>23509345</v>
      </c>
      <c r="K21" s="213">
        <v>28794331</v>
      </c>
      <c r="L21" s="213">
        <v>2992000</v>
      </c>
      <c r="M21" s="213">
        <v>2992000</v>
      </c>
      <c r="N21" s="213"/>
      <c r="O21" s="213"/>
      <c r="P21" s="213">
        <v>138681000</v>
      </c>
      <c r="Q21" s="213">
        <v>152749000</v>
      </c>
      <c r="R21" s="213">
        <v>100726830</v>
      </c>
      <c r="S21" s="213">
        <v>161230964</v>
      </c>
      <c r="T21" s="213"/>
      <c r="U21" s="213"/>
      <c r="V21" s="213">
        <v>278867008</v>
      </c>
      <c r="W21" s="213">
        <v>278867008</v>
      </c>
      <c r="X21" s="213"/>
      <c r="Y21" s="213"/>
      <c r="Z21" s="213"/>
      <c r="AA21" s="213"/>
      <c r="AB21" s="213">
        <v>260931899</v>
      </c>
      <c r="AC21" s="213">
        <v>178255074</v>
      </c>
      <c r="AD21" s="213"/>
      <c r="AE21" s="213"/>
      <c r="AF21" s="213"/>
      <c r="AG21" s="213"/>
      <c r="AH21" s="213"/>
      <c r="AI21" s="213">
        <v>777605272</v>
      </c>
      <c r="AJ21" s="213"/>
      <c r="AK21" s="213"/>
      <c r="AL21" s="213">
        <v>223000</v>
      </c>
      <c r="AM21" s="213">
        <v>223000</v>
      </c>
      <c r="AN21" s="213"/>
      <c r="AO21" s="213"/>
      <c r="AP21" s="213">
        <f>161087500+314661257</f>
        <v>475748757</v>
      </c>
      <c r="AQ21" s="213">
        <f>161087500+382603745</f>
        <v>543691245</v>
      </c>
      <c r="AR21" s="213">
        <v>41266464</v>
      </c>
      <c r="AS21" s="213">
        <v>42568872</v>
      </c>
      <c r="AT21" s="213"/>
      <c r="AU21" s="213"/>
      <c r="AV21" s="213"/>
      <c r="AW21" s="213"/>
      <c r="AX21" s="213">
        <v>21481542</v>
      </c>
      <c r="AY21" s="213">
        <v>21481542</v>
      </c>
      <c r="AZ21" s="213">
        <v>150000000</v>
      </c>
      <c r="BA21" s="213">
        <v>150000000</v>
      </c>
      <c r="BB21" s="213"/>
      <c r="BC21" s="213">
        <v>11653075</v>
      </c>
      <c r="BD21" s="213"/>
      <c r="BE21" s="213"/>
      <c r="BF21" s="213">
        <v>33212732</v>
      </c>
      <c r="BG21" s="213">
        <v>33212732</v>
      </c>
      <c r="BH21" s="213"/>
      <c r="BI21" s="213"/>
      <c r="BJ21" s="213"/>
      <c r="BK21" s="213"/>
      <c r="BL21" s="213">
        <v>10699511</v>
      </c>
      <c r="BM21" s="213">
        <v>10699511</v>
      </c>
      <c r="BN21" s="213">
        <v>3003732</v>
      </c>
      <c r="BO21" s="213">
        <v>3003732</v>
      </c>
      <c r="BP21" s="213"/>
      <c r="BQ21" s="213"/>
      <c r="BR21" s="213"/>
      <c r="BS21" s="213"/>
      <c r="BT21" s="213"/>
      <c r="BU21" s="213"/>
      <c r="BV21" s="209">
        <f t="shared" si="10"/>
        <v>1631562221</v>
      </c>
      <c r="BW21" s="209">
        <f t="shared" si="11"/>
        <v>2509396408</v>
      </c>
    </row>
    <row r="22" spans="1:75" s="216" customFormat="1" x14ac:dyDescent="0.2">
      <c r="A22" s="214" t="s">
        <v>95</v>
      </c>
      <c r="B22" s="209"/>
      <c r="C22" s="209"/>
      <c r="D22" s="209"/>
      <c r="E22" s="209"/>
      <c r="F22" s="209"/>
      <c r="G22" s="209"/>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v>1254283000</v>
      </c>
      <c r="AE22" s="213"/>
      <c r="AF22" s="213"/>
      <c r="AG22" s="213"/>
      <c r="AH22" s="213"/>
      <c r="AI22" s="213"/>
      <c r="AJ22" s="213"/>
      <c r="AK22" s="213"/>
      <c r="AL22" s="213"/>
      <c r="AM22" s="213"/>
      <c r="AN22" s="213"/>
      <c r="AO22" s="213"/>
      <c r="AP22" s="213"/>
      <c r="AQ22" s="213"/>
      <c r="AR22" s="213"/>
      <c r="AS22" s="213"/>
      <c r="AT22" s="213">
        <v>3938415</v>
      </c>
      <c r="AU22" s="213">
        <v>3938415</v>
      </c>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09">
        <f t="shared" si="10"/>
        <v>1258221415</v>
      </c>
      <c r="BW22" s="209">
        <f t="shared" si="11"/>
        <v>3938415</v>
      </c>
    </row>
    <row r="23" spans="1:75" x14ac:dyDescent="0.2">
      <c r="A23" s="214" t="s">
        <v>51</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f t="shared" si="10"/>
        <v>0</v>
      </c>
      <c r="BW23" s="209">
        <f t="shared" si="11"/>
        <v>0</v>
      </c>
    </row>
    <row r="24" spans="1:75" s="216" customFormat="1" x14ac:dyDescent="0.2">
      <c r="A24" s="214" t="s">
        <v>52</v>
      </c>
      <c r="B24" s="209"/>
      <c r="C24" s="209"/>
      <c r="D24" s="209"/>
      <c r="E24" s="209"/>
      <c r="F24" s="209"/>
      <c r="G24" s="209"/>
      <c r="H24" s="209"/>
      <c r="I24" s="209"/>
      <c r="J24" s="209"/>
      <c r="K24" s="209"/>
      <c r="L24" s="209"/>
      <c r="M24" s="209"/>
      <c r="N24" s="209">
        <v>59853935</v>
      </c>
      <c r="O24" s="209">
        <v>65553936</v>
      </c>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v>88088010000</v>
      </c>
      <c r="AW24" s="209">
        <v>88088010000</v>
      </c>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f t="shared" si="10"/>
        <v>88147863935</v>
      </c>
      <c r="BW24" s="209">
        <f t="shared" si="11"/>
        <v>88153563936</v>
      </c>
    </row>
    <row r="25" spans="1:75" s="216" customFormat="1" x14ac:dyDescent="0.2">
      <c r="A25" s="214" t="s">
        <v>53</v>
      </c>
      <c r="B25" s="211"/>
      <c r="C25" s="209">
        <v>56173535</v>
      </c>
      <c r="D25" s="211"/>
      <c r="E25" s="211"/>
      <c r="F25" s="211"/>
      <c r="G25" s="211"/>
      <c r="H25" s="211"/>
      <c r="I25" s="211"/>
      <c r="J25" s="211"/>
      <c r="K25" s="211"/>
      <c r="L25" s="211"/>
      <c r="M25" s="211"/>
      <c r="N25" s="211"/>
      <c r="O25" s="211"/>
      <c r="P25" s="213"/>
      <c r="Q25" s="211"/>
      <c r="R25" s="211">
        <v>74737284</v>
      </c>
      <c r="S25" s="211">
        <v>74737284</v>
      </c>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09">
        <v>259815454</v>
      </c>
      <c r="AY25" s="209">
        <v>259815454</v>
      </c>
      <c r="AZ25" s="211"/>
      <c r="BA25" s="211"/>
      <c r="BB25" s="211"/>
      <c r="BC25" s="209">
        <v>2143291</v>
      </c>
      <c r="BD25" s="211"/>
      <c r="BE25" s="211"/>
      <c r="BF25" s="211"/>
      <c r="BG25" s="211"/>
      <c r="BH25" s="211"/>
      <c r="BI25" s="211"/>
      <c r="BJ25" s="211"/>
      <c r="BK25" s="211"/>
      <c r="BL25" s="211"/>
      <c r="BM25" s="211"/>
      <c r="BN25" s="211"/>
      <c r="BO25" s="211"/>
      <c r="BP25" s="211"/>
      <c r="BQ25" s="211"/>
      <c r="BR25" s="211"/>
      <c r="BS25" s="211"/>
      <c r="BT25" s="211"/>
      <c r="BU25" s="211"/>
      <c r="BV25" s="209">
        <f t="shared" si="10"/>
        <v>334552738</v>
      </c>
      <c r="BW25" s="209">
        <f t="shared" si="11"/>
        <v>392869564</v>
      </c>
    </row>
    <row r="26" spans="1:75" x14ac:dyDescent="0.2">
      <c r="A26" s="214" t="s">
        <v>54</v>
      </c>
      <c r="B26" s="209"/>
      <c r="C26" s="209">
        <v>13130925</v>
      </c>
      <c r="D26" s="209">
        <v>8071228</v>
      </c>
      <c r="E26" s="209">
        <v>4860343</v>
      </c>
      <c r="F26" s="209"/>
      <c r="G26" s="209">
        <v>42948777</v>
      </c>
      <c r="H26" s="209">
        <v>62615652</v>
      </c>
      <c r="I26" s="213">
        <v>80921899</v>
      </c>
      <c r="J26" s="213">
        <v>62060710</v>
      </c>
      <c r="K26" s="213">
        <v>47564872</v>
      </c>
      <c r="L26" s="213">
        <v>-4974525</v>
      </c>
      <c r="M26" s="213">
        <v>-227932014</v>
      </c>
      <c r="N26" s="213">
        <v>6646805</v>
      </c>
      <c r="O26" s="213">
        <v>23257007</v>
      </c>
      <c r="P26" s="213">
        <v>140683000</v>
      </c>
      <c r="Q26" s="213">
        <v>94581000</v>
      </c>
      <c r="R26" s="213">
        <v>291100661</v>
      </c>
      <c r="S26" s="213">
        <v>332079762</v>
      </c>
      <c r="T26" s="213">
        <f>+T45</f>
        <v>2963896126</v>
      </c>
      <c r="U26" s="213">
        <f>+U45</f>
        <v>477118411</v>
      </c>
      <c r="V26" s="213">
        <v>1045101301</v>
      </c>
      <c r="W26" s="213">
        <v>1310994890</v>
      </c>
      <c r="X26" s="213">
        <v>670000</v>
      </c>
      <c r="Y26" s="213">
        <v>1399000</v>
      </c>
      <c r="Z26" s="213"/>
      <c r="AA26" s="213">
        <v>-28263931</v>
      </c>
      <c r="AB26" s="213">
        <v>744091421</v>
      </c>
      <c r="AC26" s="213">
        <v>-447573924</v>
      </c>
      <c r="AD26" s="213">
        <v>1593253000</v>
      </c>
      <c r="AE26" s="213">
        <v>2999860000</v>
      </c>
      <c r="AF26" s="213"/>
      <c r="AG26" s="213">
        <v>1046000</v>
      </c>
      <c r="AH26" s="213"/>
      <c r="AI26" s="213">
        <v>137737600</v>
      </c>
      <c r="AJ26" s="213">
        <v>142831243</v>
      </c>
      <c r="AK26" s="213">
        <v>-32098976</v>
      </c>
      <c r="AL26" s="213">
        <v>-347638696</v>
      </c>
      <c r="AM26" s="213">
        <v>-577652747</v>
      </c>
      <c r="AN26" s="213">
        <v>12885353</v>
      </c>
      <c r="AO26" s="213">
        <v>15041111</v>
      </c>
      <c r="AP26" s="213">
        <v>67942488</v>
      </c>
      <c r="AQ26" s="213">
        <v>23041167</v>
      </c>
      <c r="AR26" s="213">
        <v>13024079</v>
      </c>
      <c r="AS26" s="213">
        <v>80829576</v>
      </c>
      <c r="AT26" s="213">
        <v>63610707</v>
      </c>
      <c r="AU26" s="213">
        <v>-131555201</v>
      </c>
      <c r="AV26" s="213">
        <v>-23963165000</v>
      </c>
      <c r="AW26" s="213">
        <v>7733069000</v>
      </c>
      <c r="AX26" s="213">
        <v>10168130</v>
      </c>
      <c r="AY26" s="213">
        <v>-65016608</v>
      </c>
      <c r="AZ26" s="213">
        <v>4051159890</v>
      </c>
      <c r="BA26" s="213">
        <v>3819227347</v>
      </c>
      <c r="BB26" s="213"/>
      <c r="BC26" s="213">
        <v>36420138</v>
      </c>
      <c r="BD26" s="213">
        <v>43113715</v>
      </c>
      <c r="BE26" s="213">
        <v>98247879</v>
      </c>
      <c r="BF26" s="213">
        <v>-68898896</v>
      </c>
      <c r="BG26" s="213">
        <v>22064374</v>
      </c>
      <c r="BH26" s="213">
        <v>-39442000</v>
      </c>
      <c r="BI26" s="213">
        <v>79106000</v>
      </c>
      <c r="BJ26" s="213">
        <v>3408</v>
      </c>
      <c r="BK26" s="213">
        <v>51922</v>
      </c>
      <c r="BL26" s="213">
        <v>41635027</v>
      </c>
      <c r="BM26" s="213">
        <v>44354139</v>
      </c>
      <c r="BN26" s="213">
        <v>-11717639</v>
      </c>
      <c r="BO26" s="213">
        <v>12878388</v>
      </c>
      <c r="BP26" s="213">
        <v>-255429</v>
      </c>
      <c r="BQ26" s="213">
        <v>15144</v>
      </c>
      <c r="BR26" s="213">
        <v>18504966</v>
      </c>
      <c r="BS26" s="213">
        <v>15923761</v>
      </c>
      <c r="BT26" s="213"/>
      <c r="BU26" s="213"/>
      <c r="BV26" s="209">
        <f t="shared" si="10"/>
        <v>-13053023275</v>
      </c>
      <c r="BW26" s="209">
        <f t="shared" si="11"/>
        <v>16037677031</v>
      </c>
    </row>
    <row r="27" spans="1:75" x14ac:dyDescent="0.2">
      <c r="A27" s="214" t="s">
        <v>55</v>
      </c>
      <c r="B27" s="209"/>
      <c r="C27" s="209">
        <v>133050671</v>
      </c>
      <c r="D27" s="209">
        <v>76906998</v>
      </c>
      <c r="E27" s="209">
        <v>76906998</v>
      </c>
      <c r="F27" s="209"/>
      <c r="G27" s="209">
        <v>121993775</v>
      </c>
      <c r="H27" s="213">
        <v>640141883</v>
      </c>
      <c r="I27" s="213">
        <v>702757536</v>
      </c>
      <c r="J27" s="213">
        <f>30990411-39871434</f>
        <v>-8881023</v>
      </c>
      <c r="K27" s="213">
        <f>93051120-39871433</f>
        <v>53179687</v>
      </c>
      <c r="L27" s="213">
        <v>-46513409</v>
      </c>
      <c r="M27" s="213">
        <v>-51487934</v>
      </c>
      <c r="N27" s="213">
        <v>-116043394</v>
      </c>
      <c r="O27" s="213">
        <v>-109396590</v>
      </c>
      <c r="P27" s="213">
        <v>534695000</v>
      </c>
      <c r="Q27" s="213">
        <v>661309000</v>
      </c>
      <c r="R27" s="213">
        <v>261654490</v>
      </c>
      <c r="S27" s="213"/>
      <c r="T27" s="213">
        <v>-2107459753</v>
      </c>
      <c r="U27" s="213">
        <v>358923386</v>
      </c>
      <c r="V27" s="213"/>
      <c r="W27" s="213">
        <v>954914965</v>
      </c>
      <c r="X27" s="213">
        <v>-75158000</v>
      </c>
      <c r="Y27" s="213">
        <v>-74488000</v>
      </c>
      <c r="Z27" s="213"/>
      <c r="AA27" s="213">
        <v>-478277734</v>
      </c>
      <c r="AB27" s="213">
        <f>991125018-582872079+355452307</f>
        <v>763705246</v>
      </c>
      <c r="AC27" s="213">
        <v>413993903</v>
      </c>
      <c r="AD27" s="213"/>
      <c r="AE27" s="213"/>
      <c r="AF27" s="213"/>
      <c r="AG27" s="213">
        <v>-730000</v>
      </c>
      <c r="AH27" s="213"/>
      <c r="AI27" s="213"/>
      <c r="AJ27" s="213">
        <v>-45061313</v>
      </c>
      <c r="AK27" s="213">
        <v>97769930</v>
      </c>
      <c r="AL27" s="213">
        <v>312554354</v>
      </c>
      <c r="AM27" s="213">
        <v>-35184341</v>
      </c>
      <c r="AN27" s="213">
        <v>130445444</v>
      </c>
      <c r="AO27" s="213">
        <v>143330796</v>
      </c>
      <c r="AP27" s="213"/>
      <c r="AQ27" s="213"/>
      <c r="AR27" s="213">
        <v>174792447</v>
      </c>
      <c r="AS27" s="213">
        <v>186514118</v>
      </c>
      <c r="AT27" s="213">
        <v>-30257205</v>
      </c>
      <c r="AU27" s="213">
        <v>33353502</v>
      </c>
      <c r="AV27" s="213">
        <v>-30460021000</v>
      </c>
      <c r="AW27" s="213">
        <v>-54423186000</v>
      </c>
      <c r="AX27" s="213">
        <v>33353372</v>
      </c>
      <c r="AY27" s="213">
        <v>43521502</v>
      </c>
      <c r="AZ27" s="213">
        <v>12430836926</v>
      </c>
      <c r="BA27" s="213">
        <v>16481996815</v>
      </c>
      <c r="BB27" s="213"/>
      <c r="BC27" s="213">
        <v>11205633</v>
      </c>
      <c r="BD27" s="213">
        <v>105565320</v>
      </c>
      <c r="BE27" s="213">
        <v>148679035</v>
      </c>
      <c r="BF27" s="213">
        <v>140093017</v>
      </c>
      <c r="BG27" s="213">
        <v>71194121</v>
      </c>
      <c r="BH27" s="213">
        <v>365919000</v>
      </c>
      <c r="BI27" s="213"/>
      <c r="BJ27" s="213">
        <v>-44047</v>
      </c>
      <c r="BK27" s="213">
        <v>-40639</v>
      </c>
      <c r="BL27" s="213">
        <v>1076347000</v>
      </c>
      <c r="BM27" s="213">
        <v>1076347000</v>
      </c>
      <c r="BN27" s="213">
        <v>-13009378</v>
      </c>
      <c r="BO27" s="213">
        <v>-24727017</v>
      </c>
      <c r="BP27" s="213">
        <v>-157968</v>
      </c>
      <c r="BQ27" s="213">
        <v>-413397</v>
      </c>
      <c r="BR27" s="213">
        <v>58093931</v>
      </c>
      <c r="BS27" s="213">
        <v>76598897</v>
      </c>
      <c r="BT27" s="213"/>
      <c r="BU27" s="213"/>
      <c r="BV27" s="209">
        <f t="shared" si="10"/>
        <v>-15797502062</v>
      </c>
      <c r="BW27" s="209">
        <f t="shared" si="11"/>
        <v>-33350390382</v>
      </c>
    </row>
    <row r="28" spans="1:75" x14ac:dyDescent="0.2">
      <c r="A28" s="214" t="s">
        <v>56</v>
      </c>
      <c r="B28" s="209"/>
      <c r="C28" s="209"/>
      <c r="D28" s="209"/>
      <c r="E28" s="209"/>
      <c r="F28" s="209"/>
      <c r="G28" s="209"/>
      <c r="H28" s="213">
        <v>129351492</v>
      </c>
      <c r="I28" s="213">
        <v>129351492</v>
      </c>
      <c r="J28" s="213">
        <v>67152665</v>
      </c>
      <c r="K28" s="213">
        <v>67152665</v>
      </c>
      <c r="L28" s="213"/>
      <c r="M28" s="213"/>
      <c r="N28" s="213"/>
      <c r="O28" s="213"/>
      <c r="P28" s="213"/>
      <c r="Q28" s="213"/>
      <c r="R28" s="213"/>
      <c r="S28" s="213"/>
      <c r="T28" s="213"/>
      <c r="U28" s="213"/>
      <c r="V28" s="213">
        <v>6048372672</v>
      </c>
      <c r="W28" s="213">
        <v>6138559007</v>
      </c>
      <c r="X28" s="213"/>
      <c r="Y28" s="213"/>
      <c r="Z28" s="213"/>
      <c r="AA28" s="213"/>
      <c r="AB28" s="213"/>
      <c r="AC28" s="213"/>
      <c r="AD28" s="213"/>
      <c r="AE28" s="213"/>
      <c r="AF28" s="213"/>
      <c r="AG28" s="213">
        <v>219910000</v>
      </c>
      <c r="AH28" s="213"/>
      <c r="AI28" s="213"/>
      <c r="AJ28" s="213"/>
      <c r="AK28" s="213"/>
      <c r="AL28" s="213"/>
      <c r="AM28" s="213"/>
      <c r="AN28" s="213"/>
      <c r="AO28" s="213"/>
      <c r="AP28" s="213">
        <v>236056610</v>
      </c>
      <c r="AQ28" s="213">
        <v>236056610</v>
      </c>
      <c r="AR28" s="213"/>
      <c r="AS28" s="213"/>
      <c r="AT28" s="213"/>
      <c r="AU28" s="213"/>
      <c r="AV28" s="213"/>
      <c r="AW28" s="213"/>
      <c r="AX28" s="213"/>
      <c r="AY28" s="213"/>
      <c r="AZ28" s="213"/>
      <c r="BA28" s="213"/>
      <c r="BB28" s="213"/>
      <c r="BC28" s="213"/>
      <c r="BD28" s="213"/>
      <c r="BE28" s="213"/>
      <c r="BF28" s="213">
        <v>72986074</v>
      </c>
      <c r="BG28" s="213">
        <v>72986074</v>
      </c>
      <c r="BH28" s="213"/>
      <c r="BI28" s="213"/>
      <c r="BJ28" s="213"/>
      <c r="BK28" s="213"/>
      <c r="BL28" s="213"/>
      <c r="BM28" s="213"/>
      <c r="BN28" s="213"/>
      <c r="BO28" s="213"/>
      <c r="BP28" s="213"/>
      <c r="BQ28" s="213"/>
      <c r="BR28" s="213"/>
      <c r="BS28" s="213"/>
      <c r="BT28" s="213"/>
      <c r="BU28" s="213"/>
      <c r="BV28" s="209">
        <f t="shared" si="10"/>
        <v>6553919513</v>
      </c>
      <c r="BW28" s="209">
        <f t="shared" si="11"/>
        <v>6864015848</v>
      </c>
    </row>
    <row r="29" spans="1:75" x14ac:dyDescent="0.2">
      <c r="A29" s="214" t="s">
        <v>57</v>
      </c>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13"/>
      <c r="BM29" s="213"/>
      <c r="BN29" s="213"/>
      <c r="BO29" s="213"/>
      <c r="BP29" s="213"/>
      <c r="BQ29" s="213"/>
      <c r="BR29" s="213"/>
      <c r="BS29" s="213"/>
      <c r="BT29" s="213"/>
      <c r="BU29" s="213"/>
      <c r="BV29" s="209">
        <f t="shared" si="10"/>
        <v>0</v>
      </c>
      <c r="BW29" s="209">
        <f t="shared" si="11"/>
        <v>0</v>
      </c>
    </row>
    <row r="30" spans="1:75" x14ac:dyDescent="0.2">
      <c r="A30" s="214" t="s">
        <v>96</v>
      </c>
      <c r="B30" s="209"/>
      <c r="C30" s="209"/>
      <c r="D30" s="209"/>
      <c r="E30" s="209"/>
      <c r="F30" s="209"/>
      <c r="G30" s="209"/>
      <c r="H30" s="213"/>
      <c r="I30" s="213"/>
      <c r="J30" s="213"/>
      <c r="K30" s="213"/>
      <c r="L30" s="213">
        <v>-53368</v>
      </c>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v>4155593753</v>
      </c>
      <c r="BF30" s="213"/>
      <c r="BG30" s="213"/>
      <c r="BH30" s="213"/>
      <c r="BI30" s="213"/>
      <c r="BJ30" s="213"/>
      <c r="BK30" s="213"/>
      <c r="BL30" s="213"/>
      <c r="BM30" s="213"/>
      <c r="BN30" s="213"/>
      <c r="BO30" s="213"/>
      <c r="BP30" s="213"/>
      <c r="BQ30" s="213"/>
      <c r="BR30" s="213"/>
      <c r="BS30" s="213"/>
      <c r="BT30" s="213"/>
      <c r="BU30" s="213"/>
      <c r="BV30" s="209">
        <f t="shared" si="10"/>
        <v>-53368</v>
      </c>
      <c r="BW30" s="209">
        <f t="shared" si="11"/>
        <v>4155593753</v>
      </c>
    </row>
    <row r="31" spans="1:75" x14ac:dyDescent="0.2">
      <c r="A31" s="214" t="s">
        <v>58</v>
      </c>
      <c r="B31" s="209"/>
      <c r="C31" s="209"/>
      <c r="D31" s="209"/>
      <c r="E31" s="209"/>
      <c r="F31" s="209"/>
      <c r="G31" s="209"/>
      <c r="H31" s="209"/>
      <c r="I31" s="209"/>
      <c r="J31" s="209"/>
      <c r="K31" s="209"/>
      <c r="L31" s="209"/>
      <c r="M31" s="209"/>
      <c r="N31" s="209"/>
      <c r="O31" s="209"/>
      <c r="P31" s="209"/>
      <c r="Q31" s="209"/>
      <c r="R31" s="209"/>
      <c r="S31" s="209"/>
      <c r="T31" s="235">
        <v>-497512986</v>
      </c>
      <c r="U31" s="235">
        <v>48469846</v>
      </c>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f t="shared" si="10"/>
        <v>-497512986</v>
      </c>
      <c r="BW31" s="209">
        <f t="shared" si="11"/>
        <v>48469846</v>
      </c>
    </row>
    <row r="32" spans="1:75" s="224" customFormat="1" x14ac:dyDescent="0.2">
      <c r="A32" s="223" t="s">
        <v>59</v>
      </c>
      <c r="B32" s="210">
        <f t="shared" ref="B32:G32" si="12">SUM(B17:B31)</f>
        <v>0</v>
      </c>
      <c r="C32" s="210">
        <f t="shared" si="12"/>
        <v>345714056</v>
      </c>
      <c r="D32" s="210">
        <f t="shared" si="12"/>
        <v>204978226</v>
      </c>
      <c r="E32" s="210">
        <f t="shared" si="12"/>
        <v>201767341</v>
      </c>
      <c r="F32" s="210">
        <f t="shared" si="12"/>
        <v>0</v>
      </c>
      <c r="G32" s="210">
        <f t="shared" si="12"/>
        <v>429942552</v>
      </c>
      <c r="H32" s="210">
        <f t="shared" ref="H32:AM32" si="13">SUM(H18:H31)</f>
        <v>1263587428</v>
      </c>
      <c r="I32" s="210">
        <f t="shared" si="13"/>
        <v>1353501052</v>
      </c>
      <c r="J32" s="210">
        <f t="shared" si="13"/>
        <v>206841697</v>
      </c>
      <c r="K32" s="210">
        <f t="shared" si="13"/>
        <v>259691555</v>
      </c>
      <c r="L32" s="210">
        <f t="shared" si="13"/>
        <v>343450698</v>
      </c>
      <c r="M32" s="210">
        <f t="shared" si="13"/>
        <v>1223572052</v>
      </c>
      <c r="N32" s="210">
        <f t="shared" si="13"/>
        <v>200457346</v>
      </c>
      <c r="O32" s="210">
        <f t="shared" si="13"/>
        <v>229414353</v>
      </c>
      <c r="P32" s="210">
        <f t="shared" si="13"/>
        <v>1564059000</v>
      </c>
      <c r="Q32" s="210">
        <f t="shared" si="13"/>
        <v>1658639000</v>
      </c>
      <c r="R32" s="210">
        <f t="shared" si="13"/>
        <v>1668980094</v>
      </c>
      <c r="S32" s="210">
        <f t="shared" si="13"/>
        <v>1508808839</v>
      </c>
      <c r="T32" s="210">
        <f t="shared" si="13"/>
        <v>658923387</v>
      </c>
      <c r="U32" s="210">
        <f t="shared" si="13"/>
        <v>1184511643</v>
      </c>
      <c r="V32" s="210">
        <f t="shared" si="13"/>
        <v>8873340981</v>
      </c>
      <c r="W32" s="210">
        <f t="shared" si="13"/>
        <v>10184335870</v>
      </c>
      <c r="X32" s="210">
        <f t="shared" si="13"/>
        <v>105512000</v>
      </c>
      <c r="Y32" s="210">
        <f t="shared" si="13"/>
        <v>106911000</v>
      </c>
      <c r="Z32" s="210">
        <f t="shared" si="13"/>
        <v>0</v>
      </c>
      <c r="AA32" s="210">
        <f t="shared" si="13"/>
        <v>-86541665</v>
      </c>
      <c r="AB32" s="210">
        <f t="shared" si="13"/>
        <v>2268728566</v>
      </c>
      <c r="AC32" s="210">
        <f t="shared" si="13"/>
        <v>644675053</v>
      </c>
      <c r="AD32" s="210">
        <f t="shared" si="13"/>
        <v>3747536000</v>
      </c>
      <c r="AE32" s="210">
        <f t="shared" si="13"/>
        <v>3899860000</v>
      </c>
      <c r="AF32" s="210">
        <f t="shared" si="13"/>
        <v>0</v>
      </c>
      <c r="AG32" s="210">
        <f t="shared" si="13"/>
        <v>600226000</v>
      </c>
      <c r="AH32" s="210">
        <f t="shared" si="13"/>
        <v>0</v>
      </c>
      <c r="AI32" s="210">
        <f t="shared" si="13"/>
        <v>968342872</v>
      </c>
      <c r="AJ32" s="210">
        <f t="shared" si="13"/>
        <v>527769930</v>
      </c>
      <c r="AK32" s="210">
        <f t="shared" si="13"/>
        <v>495670954</v>
      </c>
      <c r="AL32" s="210">
        <f t="shared" si="13"/>
        <v>385138658</v>
      </c>
      <c r="AM32" s="210">
        <f t="shared" si="13"/>
        <v>-192614088</v>
      </c>
      <c r="AN32" s="210">
        <f t="shared" ref="AN32:BI32" si="14">SUM(AN18:AN31)</f>
        <v>601214797</v>
      </c>
      <c r="AO32" s="210">
        <f t="shared" si="14"/>
        <v>616255907</v>
      </c>
      <c r="AP32" s="210">
        <f t="shared" si="14"/>
        <v>1101922855</v>
      </c>
      <c r="AQ32" s="210">
        <f t="shared" si="14"/>
        <v>1124964022</v>
      </c>
      <c r="AR32" s="210">
        <f t="shared" si="14"/>
        <v>451082990</v>
      </c>
      <c r="AS32" s="210">
        <f t="shared" si="14"/>
        <v>531912566</v>
      </c>
      <c r="AT32" s="210">
        <f t="shared" si="14"/>
        <v>406291917</v>
      </c>
      <c r="AU32" s="210">
        <f t="shared" si="14"/>
        <v>274736716</v>
      </c>
      <c r="AV32" s="210">
        <f t="shared" si="14"/>
        <v>35164824000</v>
      </c>
      <c r="AW32" s="210">
        <f t="shared" si="14"/>
        <v>42897893000</v>
      </c>
      <c r="AX32" s="210">
        <f t="shared" si="14"/>
        <v>1016078498</v>
      </c>
      <c r="AY32" s="210">
        <f t="shared" si="14"/>
        <v>951061890</v>
      </c>
      <c r="AZ32" s="210">
        <f t="shared" si="14"/>
        <v>16931996816</v>
      </c>
      <c r="BA32" s="210">
        <f t="shared" si="14"/>
        <v>20751224162</v>
      </c>
      <c r="BB32" s="210">
        <f t="shared" si="14"/>
        <v>0</v>
      </c>
      <c r="BC32" s="210">
        <f t="shared" si="14"/>
        <v>430422137</v>
      </c>
      <c r="BD32" s="210">
        <f t="shared" si="14"/>
        <v>948679035</v>
      </c>
      <c r="BE32" s="210">
        <f t="shared" si="14"/>
        <v>5202520667</v>
      </c>
      <c r="BF32" s="210">
        <f t="shared" si="14"/>
        <v>477392927</v>
      </c>
      <c r="BG32" s="210">
        <f t="shared" si="14"/>
        <v>499457301</v>
      </c>
      <c r="BH32" s="210">
        <f t="shared" si="14"/>
        <v>809477000</v>
      </c>
      <c r="BI32" s="210">
        <f t="shared" si="14"/>
        <v>928025000</v>
      </c>
      <c r="BJ32" s="210">
        <f>SUM(BJ18:BJ31)</f>
        <v>166361</v>
      </c>
      <c r="BK32" s="210">
        <f>SUM(BK18:BK31)</f>
        <v>218283</v>
      </c>
      <c r="BL32" s="210">
        <f t="shared" ref="BL32:BM32" si="15">SUM(BL18:BL31)</f>
        <v>1828681538</v>
      </c>
      <c r="BM32" s="210">
        <f t="shared" si="15"/>
        <v>1831400650</v>
      </c>
      <c r="BN32" s="210">
        <f t="shared" ref="BN32:BQ32" si="16">SUM(BN18:BN31)</f>
        <v>88276715</v>
      </c>
      <c r="BO32" s="210">
        <f t="shared" si="16"/>
        <v>101155103</v>
      </c>
      <c r="BP32" s="210">
        <f t="shared" si="16"/>
        <v>46603</v>
      </c>
      <c r="BQ32" s="210">
        <f t="shared" si="16"/>
        <v>521747</v>
      </c>
      <c r="BR32" s="210">
        <f t="shared" ref="BR32:BS32" si="17">SUM(BR18:BR31)</f>
        <v>416598897</v>
      </c>
      <c r="BS32" s="210">
        <f t="shared" si="17"/>
        <v>432522658</v>
      </c>
      <c r="BT32" s="210">
        <f t="shared" ref="BT32:BU32" si="18">SUM(BT18:BT31)</f>
        <v>0</v>
      </c>
      <c r="BU32" s="210">
        <f t="shared" si="18"/>
        <v>0</v>
      </c>
      <c r="BV32" s="210">
        <f t="shared" ref="BV32:BW32" si="19">SUM(BV18:BV31)</f>
        <v>82262034960</v>
      </c>
      <c r="BW32" s="210">
        <f t="shared" si="19"/>
        <v>101590720248</v>
      </c>
    </row>
    <row r="33" spans="1:75" s="224" customFormat="1" x14ac:dyDescent="0.2">
      <c r="A33" s="223" t="s">
        <v>60</v>
      </c>
      <c r="B33" s="210">
        <f t="shared" ref="B33:AG33" si="20">+B16+B32</f>
        <v>0</v>
      </c>
      <c r="C33" s="210">
        <f t="shared" si="20"/>
        <v>498485378</v>
      </c>
      <c r="D33" s="210">
        <f t="shared" si="20"/>
        <v>1239672827</v>
      </c>
      <c r="E33" s="210">
        <f t="shared" si="20"/>
        <v>2032930488</v>
      </c>
      <c r="F33" s="210">
        <f t="shared" si="20"/>
        <v>0</v>
      </c>
      <c r="G33" s="210">
        <f t="shared" si="20"/>
        <v>515791207</v>
      </c>
      <c r="H33" s="210">
        <f t="shared" si="20"/>
        <v>1531937827</v>
      </c>
      <c r="I33" s="210">
        <f t="shared" si="20"/>
        <v>1487846157</v>
      </c>
      <c r="J33" s="210">
        <f t="shared" si="20"/>
        <v>1146190213</v>
      </c>
      <c r="K33" s="210">
        <f t="shared" si="20"/>
        <v>1218627303</v>
      </c>
      <c r="L33" s="210">
        <f t="shared" si="20"/>
        <v>671301137</v>
      </c>
      <c r="M33" s="210">
        <f t="shared" si="20"/>
        <v>1273634703</v>
      </c>
      <c r="N33" s="210">
        <f t="shared" si="20"/>
        <v>409095234</v>
      </c>
      <c r="O33" s="210">
        <f t="shared" si="20"/>
        <v>427349623</v>
      </c>
      <c r="P33" s="210">
        <f t="shared" si="20"/>
        <v>5747746000</v>
      </c>
      <c r="Q33" s="210">
        <f t="shared" si="20"/>
        <v>5411474000</v>
      </c>
      <c r="R33" s="210">
        <f t="shared" si="20"/>
        <v>1829818100</v>
      </c>
      <c r="S33" s="210">
        <f t="shared" si="20"/>
        <v>1993076868</v>
      </c>
      <c r="T33" s="210">
        <f t="shared" si="20"/>
        <v>5524598593</v>
      </c>
      <c r="U33" s="210">
        <f t="shared" si="20"/>
        <v>2943272035</v>
      </c>
      <c r="V33" s="210">
        <f t="shared" si="20"/>
        <v>27859248916</v>
      </c>
      <c r="W33" s="210">
        <f t="shared" si="20"/>
        <v>31333882601</v>
      </c>
      <c r="X33" s="210">
        <f t="shared" si="20"/>
        <v>111003000</v>
      </c>
      <c r="Y33" s="210">
        <f t="shared" si="20"/>
        <v>112032000</v>
      </c>
      <c r="Z33" s="210">
        <f t="shared" si="20"/>
        <v>0</v>
      </c>
      <c r="AA33" s="210">
        <f t="shared" si="20"/>
        <v>418703836</v>
      </c>
      <c r="AB33" s="210">
        <f t="shared" si="20"/>
        <v>2857561471</v>
      </c>
      <c r="AC33" s="210">
        <f t="shared" si="20"/>
        <v>1180705397</v>
      </c>
      <c r="AD33" s="210">
        <f t="shared" si="20"/>
        <v>14771997000</v>
      </c>
      <c r="AE33" s="210">
        <f t="shared" si="20"/>
        <v>14441534000</v>
      </c>
      <c r="AF33" s="210">
        <f t="shared" si="20"/>
        <v>0</v>
      </c>
      <c r="AG33" s="210">
        <f t="shared" si="20"/>
        <v>609519000</v>
      </c>
      <c r="AH33" s="210">
        <f t="shared" ref="AH33:BW33" si="21">+AH16+AH32</f>
        <v>0</v>
      </c>
      <c r="AI33" s="210">
        <f t="shared" si="21"/>
        <v>1052627736</v>
      </c>
      <c r="AJ33" s="210">
        <f t="shared" si="21"/>
        <v>1467302908</v>
      </c>
      <c r="AK33" s="210">
        <f t="shared" si="21"/>
        <v>1513963177</v>
      </c>
      <c r="AL33" s="210">
        <f t="shared" si="21"/>
        <v>2647610870</v>
      </c>
      <c r="AM33" s="210">
        <f t="shared" si="21"/>
        <v>2529452670</v>
      </c>
      <c r="AN33" s="210">
        <f t="shared" si="21"/>
        <v>3347213876</v>
      </c>
      <c r="AO33" s="210">
        <f t="shared" si="21"/>
        <v>3546527966</v>
      </c>
      <c r="AP33" s="210">
        <f t="shared" si="21"/>
        <v>2691788526</v>
      </c>
      <c r="AQ33" s="210">
        <f t="shared" si="21"/>
        <v>2524678945</v>
      </c>
      <c r="AR33" s="210">
        <f t="shared" si="21"/>
        <v>683956658</v>
      </c>
      <c r="AS33" s="210">
        <f t="shared" si="21"/>
        <v>681227187</v>
      </c>
      <c r="AT33" s="210">
        <f t="shared" si="21"/>
        <v>1201605149</v>
      </c>
      <c r="AU33" s="210">
        <f t="shared" si="21"/>
        <v>1249989060</v>
      </c>
      <c r="AV33" s="210">
        <f t="shared" si="21"/>
        <v>291782224000</v>
      </c>
      <c r="AW33" s="210">
        <f t="shared" si="21"/>
        <v>259028243000</v>
      </c>
      <c r="AX33" s="210">
        <f t="shared" si="21"/>
        <v>1342832932</v>
      </c>
      <c r="AY33" s="210">
        <f t="shared" si="21"/>
        <v>1666786828</v>
      </c>
      <c r="AZ33" s="210">
        <f t="shared" si="21"/>
        <v>20277244374</v>
      </c>
      <c r="BA33" s="210">
        <f t="shared" si="21"/>
        <v>22409568300</v>
      </c>
      <c r="BB33" s="210">
        <f t="shared" si="21"/>
        <v>0</v>
      </c>
      <c r="BC33" s="210">
        <f t="shared" si="21"/>
        <v>456262327</v>
      </c>
      <c r="BD33" s="210">
        <f t="shared" si="21"/>
        <v>1642531326</v>
      </c>
      <c r="BE33" s="210">
        <f t="shared" si="21"/>
        <v>5836974013</v>
      </c>
      <c r="BF33" s="210">
        <f t="shared" si="21"/>
        <v>2762534897</v>
      </c>
      <c r="BG33" s="210">
        <f t="shared" si="21"/>
        <v>2991064556</v>
      </c>
      <c r="BH33" s="210">
        <f t="shared" si="21"/>
        <v>881196000</v>
      </c>
      <c r="BI33" s="210">
        <f t="shared" si="21"/>
        <v>987029000</v>
      </c>
      <c r="BJ33" s="210">
        <f t="shared" ref="BJ33:BU33" si="22">+BJ16+BJ32</f>
        <v>168160</v>
      </c>
      <c r="BK33" s="210">
        <f t="shared" si="22"/>
        <v>250278</v>
      </c>
      <c r="BL33" s="210">
        <f t="shared" si="22"/>
        <v>3191357789</v>
      </c>
      <c r="BM33" s="210">
        <f t="shared" si="22"/>
        <v>3196075527</v>
      </c>
      <c r="BN33" s="210">
        <f t="shared" si="22"/>
        <v>179339089</v>
      </c>
      <c r="BO33" s="210">
        <f t="shared" si="22"/>
        <v>181746944</v>
      </c>
      <c r="BP33" s="210">
        <f t="shared" si="22"/>
        <v>680071</v>
      </c>
      <c r="BQ33" s="210">
        <f t="shared" si="22"/>
        <v>768940</v>
      </c>
      <c r="BR33" s="210">
        <f t="shared" ref="BR33:BS33" si="23">+BR16+BR32</f>
        <v>482327788</v>
      </c>
      <c r="BS33" s="210">
        <f t="shared" si="23"/>
        <v>593478594</v>
      </c>
      <c r="BT33" s="210">
        <f t="shared" si="22"/>
        <v>0</v>
      </c>
      <c r="BU33" s="210">
        <f t="shared" si="22"/>
        <v>0</v>
      </c>
      <c r="BV33" s="210">
        <f t="shared" si="21"/>
        <v>398282084731</v>
      </c>
      <c r="BW33" s="210">
        <f t="shared" si="21"/>
        <v>376345579644</v>
      </c>
    </row>
    <row r="34" spans="1:75" s="224" customFormat="1" x14ac:dyDescent="0.2">
      <c r="A34" s="232"/>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row>
    <row r="35" spans="1:75" s="224" customFormat="1" ht="15" x14ac:dyDescent="0.2">
      <c r="A35" s="306" t="s">
        <v>242</v>
      </c>
      <c r="B35" s="233"/>
      <c r="C35" s="247"/>
      <c r="D35" s="233">
        <f>+C32-C35</f>
        <v>345714056</v>
      </c>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row>
    <row r="36" spans="1:75" s="224" customFormat="1" x14ac:dyDescent="0.2">
      <c r="A36" s="216"/>
      <c r="B36" s="233"/>
      <c r="C36" s="233"/>
      <c r="D36" s="233"/>
      <c r="E36" s="233"/>
      <c r="F36" s="233"/>
      <c r="G36" s="233"/>
      <c r="H36" s="252"/>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row>
    <row r="37" spans="1:75" x14ac:dyDescent="0.2">
      <c r="A37" s="226" t="s">
        <v>61</v>
      </c>
      <c r="B37" s="235"/>
      <c r="C37" s="235">
        <v>432946818</v>
      </c>
      <c r="D37" s="235">
        <v>2416038187</v>
      </c>
      <c r="E37" s="235">
        <v>2878309916</v>
      </c>
      <c r="F37" s="235"/>
      <c r="G37" s="235">
        <v>1058230343</v>
      </c>
      <c r="H37" s="212">
        <v>1713772087</v>
      </c>
      <c r="I37" s="213">
        <v>2383401640</v>
      </c>
      <c r="J37" s="213">
        <v>2659628733</v>
      </c>
      <c r="K37" s="213">
        <v>3101970443</v>
      </c>
      <c r="L37" s="213">
        <v>185731550</v>
      </c>
      <c r="M37" s="213">
        <v>134180000</v>
      </c>
      <c r="N37" s="213">
        <v>536176476</v>
      </c>
      <c r="O37" s="213">
        <v>775446746</v>
      </c>
      <c r="P37" s="213">
        <v>11637451000</v>
      </c>
      <c r="Q37" s="213">
        <v>9197336000</v>
      </c>
      <c r="R37" s="213">
        <v>1868130975</v>
      </c>
      <c r="S37" s="213">
        <v>2136157754</v>
      </c>
      <c r="T37" s="213">
        <v>12352919795</v>
      </c>
      <c r="U37" s="213">
        <v>9778673008</v>
      </c>
      <c r="V37" s="213">
        <v>19382766438</v>
      </c>
      <c r="W37" s="213">
        <v>25985545817</v>
      </c>
      <c r="X37" s="213">
        <v>42258000</v>
      </c>
      <c r="Y37" s="213">
        <v>101567000</v>
      </c>
      <c r="Z37" s="213"/>
      <c r="AA37" s="213">
        <v>688598943</v>
      </c>
      <c r="AB37" s="213">
        <f>6002772265-1026339950</f>
        <v>4976432315</v>
      </c>
      <c r="AC37" s="213">
        <v>355452307</v>
      </c>
      <c r="AD37" s="213">
        <v>18047814000</v>
      </c>
      <c r="AE37" s="213">
        <v>19960168000</v>
      </c>
      <c r="AF37" s="213"/>
      <c r="AG37" s="213">
        <v>20300000</v>
      </c>
      <c r="AH37" s="213"/>
      <c r="AI37" s="213">
        <v>364120000</v>
      </c>
      <c r="AJ37" s="213">
        <v>1469099897</v>
      </c>
      <c r="AK37" s="213">
        <v>3159940443</v>
      </c>
      <c r="AL37" s="213">
        <v>2993297100</v>
      </c>
      <c r="AM37" s="213">
        <v>3461121689</v>
      </c>
      <c r="AN37" s="213">
        <v>2978022072</v>
      </c>
      <c r="AO37" s="213">
        <v>3064801478</v>
      </c>
      <c r="AP37" s="213">
        <v>5289190825</v>
      </c>
      <c r="AQ37" s="213">
        <v>5687883484</v>
      </c>
      <c r="AR37" s="213">
        <v>145642530</v>
      </c>
      <c r="AS37" s="213">
        <v>192569757</v>
      </c>
      <c r="AT37" s="213">
        <v>1567631247</v>
      </c>
      <c r="AU37" s="213">
        <v>1541794444</v>
      </c>
      <c r="AV37" s="213">
        <v>51510459000</v>
      </c>
      <c r="AW37" s="213">
        <v>65129598000</v>
      </c>
      <c r="AX37" s="213">
        <v>437779898</v>
      </c>
      <c r="AY37" s="213">
        <v>383984984</v>
      </c>
      <c r="AZ37" s="213">
        <v>10033016781</v>
      </c>
      <c r="BA37" s="213">
        <v>9881818349</v>
      </c>
      <c r="BB37" s="213"/>
      <c r="BC37" s="213">
        <v>230416000</v>
      </c>
      <c r="BD37" s="213">
        <v>1215138136</v>
      </c>
      <c r="BE37" s="213">
        <v>1631311500</v>
      </c>
      <c r="BF37" s="213">
        <v>2654260324</v>
      </c>
      <c r="BG37" s="213">
        <v>3171481903</v>
      </c>
      <c r="BH37" s="213">
        <v>546620000</v>
      </c>
      <c r="BI37" s="213">
        <v>423616000</v>
      </c>
      <c r="BJ37" s="213">
        <v>35450</v>
      </c>
      <c r="BK37" s="213">
        <v>205402</v>
      </c>
      <c r="BL37" s="213">
        <v>417343912</v>
      </c>
      <c r="BM37" s="213">
        <v>373145103</v>
      </c>
      <c r="BN37" s="213">
        <v>432312478</v>
      </c>
      <c r="BO37" s="213">
        <v>505194821</v>
      </c>
      <c r="BP37" s="213">
        <v>232722</v>
      </c>
      <c r="BQ37" s="213">
        <f>474325-1940</f>
        <v>472385</v>
      </c>
      <c r="BR37" s="213">
        <v>192711419</v>
      </c>
      <c r="BS37" s="213">
        <v>215090781</v>
      </c>
      <c r="BT37" s="213"/>
      <c r="BU37" s="213"/>
      <c r="BV37" s="209">
        <f t="shared" ref="BV37:BV39" si="24">+B37+D37+F37+H37+J37+L37+N37+P37+R37+T37+V37+X37+Z37+AB37+AD37+AF37+AH37+AJ37+AL37+AN37+AP37+AR37+AT37+AV37+AX37+AZ37+BB37+BD37+BF37+BH37+BJ37+BL37+BN37+BP37+BR37</f>
        <v>157701913347</v>
      </c>
      <c r="BW37" s="209">
        <f t="shared" ref="BW37:BW39" si="25">+C37+E37+G37+I37+K37+M37+O37+Q37+S37+U37+W37+Y37+AA37+AC37+AE37+AG37+AI37+AK37+AM37+AO37+AQ37+AS37+AU37+AW37+AY37+BA37+BC37+BE37+BG37+BI37+BK37+BM37+BO37+BQ37+BS37</f>
        <v>178406851258</v>
      </c>
    </row>
    <row r="38" spans="1:75" x14ac:dyDescent="0.2">
      <c r="A38" s="226" t="s">
        <v>62</v>
      </c>
      <c r="B38" s="235"/>
      <c r="C38" s="235"/>
      <c r="D38" s="235">
        <f>183973656+21514733</f>
        <v>205488389</v>
      </c>
      <c r="E38" s="235">
        <f>364980613+36079659</f>
        <v>401060272</v>
      </c>
      <c r="F38" s="235"/>
      <c r="G38" s="235"/>
      <c r="H38" s="213">
        <v>1115685860</v>
      </c>
      <c r="I38" s="213">
        <v>1740383863</v>
      </c>
      <c r="J38" s="213">
        <v>127796725</v>
      </c>
      <c r="K38" s="213">
        <v>213934930</v>
      </c>
      <c r="L38" s="213"/>
      <c r="M38" s="213"/>
      <c r="N38" s="213">
        <v>224715281</v>
      </c>
      <c r="O38" s="213">
        <v>287818720</v>
      </c>
      <c r="P38" s="213">
        <v>3993829000</v>
      </c>
      <c r="Q38" s="213">
        <v>3316203000</v>
      </c>
      <c r="R38" s="213">
        <v>546722805</v>
      </c>
      <c r="S38" s="213">
        <v>492403638</v>
      </c>
      <c r="T38" s="213">
        <v>5958914950</v>
      </c>
      <c r="U38" s="213">
        <v>6412355406</v>
      </c>
      <c r="V38" s="213">
        <v>6958062063</v>
      </c>
      <c r="W38" s="213">
        <v>7998308763</v>
      </c>
      <c r="X38" s="213"/>
      <c r="Y38" s="213"/>
      <c r="Z38" s="213"/>
      <c r="AA38" s="213">
        <v>441034358</v>
      </c>
      <c r="AB38" s="213">
        <v>3130233874</v>
      </c>
      <c r="AC38" s="213">
        <v>25917877</v>
      </c>
      <c r="AD38" s="213">
        <v>12437786000</v>
      </c>
      <c r="AE38" s="213">
        <v>12307624000</v>
      </c>
      <c r="AF38" s="213"/>
      <c r="AG38" s="213">
        <v>12750000</v>
      </c>
      <c r="AH38" s="213"/>
      <c r="AI38" s="213"/>
      <c r="AJ38" s="213"/>
      <c r="AK38" s="213"/>
      <c r="AL38" s="213">
        <v>1359833299</v>
      </c>
      <c r="AM38" s="213">
        <v>1745211446</v>
      </c>
      <c r="AN38" s="213">
        <v>1795202486</v>
      </c>
      <c r="AO38" s="213">
        <v>1999251386</v>
      </c>
      <c r="AP38" s="213">
        <v>3931621820</v>
      </c>
      <c r="AQ38" s="213">
        <v>4200453938</v>
      </c>
      <c r="AR38" s="213"/>
      <c r="AS38" s="213"/>
      <c r="AT38" s="213">
        <v>830833795</v>
      </c>
      <c r="AU38" s="213">
        <v>796863206</v>
      </c>
      <c r="AV38" s="213">
        <v>24881835000</v>
      </c>
      <c r="AW38" s="213">
        <v>29734021000</v>
      </c>
      <c r="AX38" s="213"/>
      <c r="AY38" s="213"/>
      <c r="AZ38" s="213">
        <v>4699978946</v>
      </c>
      <c r="BA38" s="213">
        <v>4484518521</v>
      </c>
      <c r="BB38" s="213"/>
      <c r="BC38" s="213"/>
      <c r="BD38" s="213">
        <v>1096116331</v>
      </c>
      <c r="BE38" s="213">
        <v>1343659786</v>
      </c>
      <c r="BF38" s="213">
        <v>1438696463</v>
      </c>
      <c r="BG38" s="213">
        <v>1649923883</v>
      </c>
      <c r="BH38" s="213">
        <v>194500000</v>
      </c>
      <c r="BI38" s="213">
        <v>156677000</v>
      </c>
      <c r="BJ38" s="213"/>
      <c r="BK38" s="213"/>
      <c r="BL38" s="213"/>
      <c r="BM38" s="213"/>
      <c r="BN38" s="213">
        <v>40030720</v>
      </c>
      <c r="BO38" s="213"/>
      <c r="BP38" s="213">
        <v>91911</v>
      </c>
      <c r="BQ38" s="213">
        <v>236680</v>
      </c>
      <c r="BR38" s="213">
        <v>47363153</v>
      </c>
      <c r="BS38" s="213">
        <v>65164924</v>
      </c>
      <c r="BT38" s="213"/>
      <c r="BU38" s="213"/>
      <c r="BV38" s="209">
        <f t="shared" si="24"/>
        <v>75015338871</v>
      </c>
      <c r="BW38" s="209">
        <f t="shared" si="25"/>
        <v>79825776597</v>
      </c>
    </row>
    <row r="39" spans="1:75" x14ac:dyDescent="0.2">
      <c r="A39" s="214" t="s">
        <v>63</v>
      </c>
      <c r="B39" s="235"/>
      <c r="C39" s="235">
        <v>419815893</v>
      </c>
      <c r="D39" s="235">
        <v>2104092842</v>
      </c>
      <c r="E39" s="235">
        <v>2327512081</v>
      </c>
      <c r="F39" s="235"/>
      <c r="G39" s="235">
        <v>1009790382</v>
      </c>
      <c r="H39" s="213">
        <f>479309526+16995176</f>
        <v>496304702</v>
      </c>
      <c r="I39" s="213">
        <f>459592041+23509990</f>
        <v>483102031</v>
      </c>
      <c r="J39" s="213">
        <v>2355693634</v>
      </c>
      <c r="K39" s="213">
        <v>2714335161</v>
      </c>
      <c r="L39" s="213">
        <f>300774+405116052</f>
        <v>405416826</v>
      </c>
      <c r="M39" s="213">
        <f>97974377+374249894</f>
        <v>472224271</v>
      </c>
      <c r="N39" s="213">
        <f>54853973+240893905</f>
        <v>295747878</v>
      </c>
      <c r="O39" s="213">
        <f>94494489+347485117</f>
        <v>441979606</v>
      </c>
      <c r="P39" s="213">
        <f>7174753000+36466000</f>
        <v>7211219000</v>
      </c>
      <c r="Q39" s="213">
        <v>5588083000</v>
      </c>
      <c r="R39" s="213">
        <v>1201299422</v>
      </c>
      <c r="S39" s="213">
        <v>1018991778</v>
      </c>
      <c r="T39" s="213">
        <f>3062313841+79857299</f>
        <v>3142171140</v>
      </c>
      <c r="U39" s="213">
        <f>2624437908+120217946</f>
        <v>2744655854</v>
      </c>
      <c r="V39" s="213">
        <v>9075325872</v>
      </c>
      <c r="W39" s="213">
        <v>13266604953</v>
      </c>
      <c r="X39" s="213">
        <v>40538000</v>
      </c>
      <c r="Y39" s="213">
        <v>94105000</v>
      </c>
      <c r="Z39" s="213"/>
      <c r="AA39" s="213">
        <f>216484503+21519044</f>
        <v>238003547</v>
      </c>
      <c r="AB39" s="213">
        <v>103999821</v>
      </c>
      <c r="AC39" s="213">
        <v>38387543</v>
      </c>
      <c r="AD39" s="213">
        <f>828118000+2466314000</f>
        <v>3294432000</v>
      </c>
      <c r="AE39" s="213">
        <f>2413479000+1162386000</f>
        <v>3575865000</v>
      </c>
      <c r="AF39" s="213"/>
      <c r="AG39" s="213">
        <v>6446000</v>
      </c>
      <c r="AH39" s="213"/>
      <c r="AI39" s="213">
        <v>148060000</v>
      </c>
      <c r="AJ39" s="213">
        <f>154888285+1083285943</f>
        <v>1238174228</v>
      </c>
      <c r="AK39" s="213">
        <f>278999803+2553391146</f>
        <v>2832390949</v>
      </c>
      <c r="AL39" s="213">
        <v>1881922059</v>
      </c>
      <c r="AM39" s="213">
        <v>1885702331</v>
      </c>
      <c r="AN39" s="213">
        <v>759513723</v>
      </c>
      <c r="AO39" s="213">
        <v>835571344</v>
      </c>
      <c r="AP39" s="213">
        <f>778917324+310849611</f>
        <v>1089766935</v>
      </c>
      <c r="AQ39" s="213">
        <f>807802910+243976301</f>
        <v>1051779211</v>
      </c>
      <c r="AR39" s="213">
        <f>103430154+21639819</f>
        <v>125069973</v>
      </c>
      <c r="AS39" s="213">
        <f>87256259+2986171</f>
        <v>90242430</v>
      </c>
      <c r="AT39" s="213">
        <v>669706163</v>
      </c>
      <c r="AU39" s="213">
        <v>735656467</v>
      </c>
      <c r="AV39" s="213"/>
      <c r="AW39" s="213"/>
      <c r="AX39" s="213">
        <v>418892285</v>
      </c>
      <c r="AY39" s="213">
        <v>444475352</v>
      </c>
      <c r="AZ39" s="213">
        <v>479782021</v>
      </c>
      <c r="BA39" s="213">
        <v>340629852</v>
      </c>
      <c r="BB39" s="213"/>
      <c r="BC39" s="213">
        <v>161905550</v>
      </c>
      <c r="BD39" s="213">
        <v>26951791</v>
      </c>
      <c r="BE39" s="213">
        <v>80736206</v>
      </c>
      <c r="BF39" s="213">
        <v>1069727947</v>
      </c>
      <c r="BG39" s="213">
        <v>1219422758</v>
      </c>
      <c r="BH39" s="213">
        <v>387689000</v>
      </c>
      <c r="BI39" s="213">
        <v>347928000</v>
      </c>
      <c r="BJ39" s="213">
        <v>27897</v>
      </c>
      <c r="BK39" s="213">
        <v>124687</v>
      </c>
      <c r="BL39" s="213">
        <v>359003053</v>
      </c>
      <c r="BM39" s="213">
        <v>311071179</v>
      </c>
      <c r="BN39" s="213">
        <v>371227810</v>
      </c>
      <c r="BO39" s="213">
        <v>461490632</v>
      </c>
      <c r="BP39" s="213"/>
      <c r="BQ39" s="213"/>
      <c r="BR39" s="213">
        <v>97277433</v>
      </c>
      <c r="BS39" s="213">
        <v>98728434</v>
      </c>
      <c r="BT39" s="213"/>
      <c r="BU39" s="213"/>
      <c r="BV39" s="209">
        <f t="shared" si="24"/>
        <v>38700973455</v>
      </c>
      <c r="BW39" s="209">
        <f t="shared" si="25"/>
        <v>45485817482</v>
      </c>
    </row>
    <row r="40" spans="1:75" s="224" customFormat="1" x14ac:dyDescent="0.2">
      <c r="A40" s="223" t="s">
        <v>64</v>
      </c>
      <c r="B40" s="210">
        <f t="shared" ref="B40:AG40" si="26">+B37-B38-B39</f>
        <v>0</v>
      </c>
      <c r="C40" s="210">
        <f t="shared" si="26"/>
        <v>13130925</v>
      </c>
      <c r="D40" s="210">
        <f t="shared" si="26"/>
        <v>106456956</v>
      </c>
      <c r="E40" s="210">
        <f t="shared" si="26"/>
        <v>149737563</v>
      </c>
      <c r="F40" s="210">
        <f t="shared" si="26"/>
        <v>0</v>
      </c>
      <c r="G40" s="210">
        <f t="shared" si="26"/>
        <v>48439961</v>
      </c>
      <c r="H40" s="210">
        <f t="shared" si="26"/>
        <v>101781525</v>
      </c>
      <c r="I40" s="210">
        <f t="shared" si="26"/>
        <v>159915746</v>
      </c>
      <c r="J40" s="210">
        <f t="shared" si="26"/>
        <v>176138374</v>
      </c>
      <c r="K40" s="210">
        <f t="shared" si="26"/>
        <v>173700352</v>
      </c>
      <c r="L40" s="210">
        <f t="shared" si="26"/>
        <v>-219685276</v>
      </c>
      <c r="M40" s="210">
        <f t="shared" si="26"/>
        <v>-338044271</v>
      </c>
      <c r="N40" s="210">
        <f t="shared" si="26"/>
        <v>15713317</v>
      </c>
      <c r="O40" s="210">
        <f t="shared" si="26"/>
        <v>45648420</v>
      </c>
      <c r="P40" s="210">
        <f t="shared" si="26"/>
        <v>432403000</v>
      </c>
      <c r="Q40" s="210">
        <f t="shared" si="26"/>
        <v>293050000</v>
      </c>
      <c r="R40" s="210">
        <f t="shared" si="26"/>
        <v>120108748</v>
      </c>
      <c r="S40" s="210">
        <f t="shared" si="26"/>
        <v>624762338</v>
      </c>
      <c r="T40" s="210">
        <f t="shared" si="26"/>
        <v>3251833705</v>
      </c>
      <c r="U40" s="210">
        <f t="shared" si="26"/>
        <v>621661748</v>
      </c>
      <c r="V40" s="210">
        <f t="shared" si="26"/>
        <v>3349378503</v>
      </c>
      <c r="W40" s="210">
        <f t="shared" si="26"/>
        <v>4720632101</v>
      </c>
      <c r="X40" s="210">
        <f t="shared" si="26"/>
        <v>1720000</v>
      </c>
      <c r="Y40" s="210">
        <f t="shared" si="26"/>
        <v>7462000</v>
      </c>
      <c r="Z40" s="210">
        <f t="shared" si="26"/>
        <v>0</v>
      </c>
      <c r="AA40" s="210">
        <f t="shared" si="26"/>
        <v>9561038</v>
      </c>
      <c r="AB40" s="210">
        <f t="shared" si="26"/>
        <v>1742198620</v>
      </c>
      <c r="AC40" s="210">
        <f t="shared" si="26"/>
        <v>291146887</v>
      </c>
      <c r="AD40" s="210">
        <f t="shared" si="26"/>
        <v>2315596000</v>
      </c>
      <c r="AE40" s="210">
        <f t="shared" si="26"/>
        <v>4076679000</v>
      </c>
      <c r="AF40" s="210">
        <f t="shared" si="26"/>
        <v>0</v>
      </c>
      <c r="AG40" s="210">
        <f t="shared" si="26"/>
        <v>1104000</v>
      </c>
      <c r="AH40" s="210">
        <f t="shared" ref="AH40:BW40" si="27">+AH37-AH38-AH39</f>
        <v>0</v>
      </c>
      <c r="AI40" s="210">
        <f t="shared" si="27"/>
        <v>216060000</v>
      </c>
      <c r="AJ40" s="210">
        <f t="shared" si="27"/>
        <v>230925669</v>
      </c>
      <c r="AK40" s="210">
        <f t="shared" si="27"/>
        <v>327549494</v>
      </c>
      <c r="AL40" s="210">
        <f t="shared" si="27"/>
        <v>-248458258</v>
      </c>
      <c r="AM40" s="210">
        <f t="shared" si="27"/>
        <v>-169792088</v>
      </c>
      <c r="AN40" s="210">
        <f t="shared" si="27"/>
        <v>423305863</v>
      </c>
      <c r="AO40" s="210">
        <f t="shared" si="27"/>
        <v>229978748</v>
      </c>
      <c r="AP40" s="210">
        <f t="shared" si="27"/>
        <v>267802070</v>
      </c>
      <c r="AQ40" s="210">
        <f t="shared" si="27"/>
        <v>435650335</v>
      </c>
      <c r="AR40" s="210">
        <f t="shared" si="27"/>
        <v>20572557</v>
      </c>
      <c r="AS40" s="210">
        <f t="shared" si="27"/>
        <v>102327327</v>
      </c>
      <c r="AT40" s="210">
        <f t="shared" si="27"/>
        <v>67091289</v>
      </c>
      <c r="AU40" s="210">
        <f t="shared" si="27"/>
        <v>9274771</v>
      </c>
      <c r="AV40" s="210">
        <f t="shared" si="27"/>
        <v>26628624000</v>
      </c>
      <c r="AW40" s="210">
        <f t="shared" si="27"/>
        <v>35395577000</v>
      </c>
      <c r="AX40" s="210">
        <f t="shared" si="27"/>
        <v>18887613</v>
      </c>
      <c r="AY40" s="210">
        <f t="shared" si="27"/>
        <v>-60490368</v>
      </c>
      <c r="AZ40" s="210">
        <f t="shared" si="27"/>
        <v>4853255814</v>
      </c>
      <c r="BA40" s="210">
        <f t="shared" si="27"/>
        <v>5056669976</v>
      </c>
      <c r="BB40" s="210">
        <f t="shared" si="27"/>
        <v>0</v>
      </c>
      <c r="BC40" s="210">
        <f t="shared" si="27"/>
        <v>68510450</v>
      </c>
      <c r="BD40" s="210">
        <f t="shared" si="27"/>
        <v>92070014</v>
      </c>
      <c r="BE40" s="210">
        <f t="shared" si="27"/>
        <v>206915508</v>
      </c>
      <c r="BF40" s="210">
        <f t="shared" si="27"/>
        <v>145835914</v>
      </c>
      <c r="BG40" s="210">
        <f t="shared" si="27"/>
        <v>302135262</v>
      </c>
      <c r="BH40" s="210">
        <f t="shared" si="27"/>
        <v>-35569000</v>
      </c>
      <c r="BI40" s="210">
        <f t="shared" si="27"/>
        <v>-80989000</v>
      </c>
      <c r="BJ40" s="210">
        <f t="shared" ref="BJ40:BU40" si="28">+BJ37-BJ38-BJ39</f>
        <v>7553</v>
      </c>
      <c r="BK40" s="210">
        <f t="shared" si="28"/>
        <v>80715</v>
      </c>
      <c r="BL40" s="210">
        <f t="shared" si="28"/>
        <v>58340859</v>
      </c>
      <c r="BM40" s="210">
        <f t="shared" si="28"/>
        <v>62073924</v>
      </c>
      <c r="BN40" s="210">
        <f t="shared" si="28"/>
        <v>21053948</v>
      </c>
      <c r="BO40" s="210">
        <f t="shared" si="28"/>
        <v>43704189</v>
      </c>
      <c r="BP40" s="210">
        <f t="shared" si="28"/>
        <v>140811</v>
      </c>
      <c r="BQ40" s="210">
        <f t="shared" si="28"/>
        <v>235705</v>
      </c>
      <c r="BR40" s="210">
        <f t="shared" si="28"/>
        <v>48070833</v>
      </c>
      <c r="BS40" s="210">
        <f t="shared" si="28"/>
        <v>51197423</v>
      </c>
      <c r="BT40" s="210">
        <f t="shared" si="28"/>
        <v>0</v>
      </c>
      <c r="BU40" s="210">
        <f t="shared" si="28"/>
        <v>0</v>
      </c>
      <c r="BV40" s="210">
        <f t="shared" si="27"/>
        <v>43985601021</v>
      </c>
      <c r="BW40" s="210">
        <f t="shared" si="27"/>
        <v>53095257179</v>
      </c>
    </row>
    <row r="41" spans="1:75" x14ac:dyDescent="0.2">
      <c r="A41" s="214" t="s">
        <v>65</v>
      </c>
      <c r="B41" s="235"/>
      <c r="C41" s="235"/>
      <c r="D41" s="235">
        <f>700682+186776</f>
        <v>887458</v>
      </c>
      <c r="E41" s="235">
        <f>3901761</f>
        <v>3901761</v>
      </c>
      <c r="F41" s="235"/>
      <c r="G41" s="235">
        <v>590716</v>
      </c>
      <c r="H41" s="213">
        <f>24750843+12501478</f>
        <v>37252321</v>
      </c>
      <c r="I41" s="213">
        <f>36176831+15528</f>
        <v>36192359</v>
      </c>
      <c r="J41" s="213">
        <v>26305618</v>
      </c>
      <c r="K41" s="213">
        <v>59776232</v>
      </c>
      <c r="L41" s="213">
        <v>231382252</v>
      </c>
      <c r="M41" s="213">
        <v>138894827</v>
      </c>
      <c r="N41" s="213">
        <v>134024</v>
      </c>
      <c r="O41" s="213">
        <v>510757</v>
      </c>
      <c r="P41" s="213">
        <v>85831000</v>
      </c>
      <c r="Q41" s="213">
        <v>47903000</v>
      </c>
      <c r="R41" s="213">
        <v>268935367</v>
      </c>
      <c r="S41" s="213">
        <v>286222</v>
      </c>
      <c r="T41" s="213">
        <f>8459929+38141844+2310093</f>
        <v>48911866</v>
      </c>
      <c r="U41" s="213">
        <f>21287041+153246219</f>
        <v>174533260</v>
      </c>
      <c r="V41" s="213"/>
      <c r="W41" s="213"/>
      <c r="X41" s="213"/>
      <c r="Y41" s="213"/>
      <c r="Z41" s="213"/>
      <c r="AA41" s="213">
        <v>2001</v>
      </c>
      <c r="AB41" s="213">
        <v>377</v>
      </c>
      <c r="AC41" s="213"/>
      <c r="AD41" s="213">
        <f>84667000+468319000</f>
        <v>552986000</v>
      </c>
      <c r="AE41" s="213">
        <f>77624000+1056383000</f>
        <v>1134007000</v>
      </c>
      <c r="AF41" s="213"/>
      <c r="AG41" s="213"/>
      <c r="AH41" s="213"/>
      <c r="AI41" s="213"/>
      <c r="AJ41" s="213">
        <v>143482</v>
      </c>
      <c r="AK41" s="213">
        <v>36613156</v>
      </c>
      <c r="AL41" s="213">
        <v>64882798</v>
      </c>
      <c r="AM41" s="213">
        <v>51452779</v>
      </c>
      <c r="AN41" s="213">
        <f>5899280+1700</f>
        <v>5900980</v>
      </c>
      <c r="AO41" s="213">
        <f>6544634+184</f>
        <v>6544818</v>
      </c>
      <c r="AP41" s="213">
        <v>869264</v>
      </c>
      <c r="AQ41" s="213">
        <v>16089659</v>
      </c>
      <c r="AR41" s="213">
        <v>446041</v>
      </c>
      <c r="AS41" s="213">
        <f>63912+101743</f>
        <v>165655</v>
      </c>
      <c r="AT41" s="213">
        <v>9083479</v>
      </c>
      <c r="AU41" s="213"/>
      <c r="AV41" s="213">
        <v>1346000000</v>
      </c>
      <c r="AW41" s="213">
        <f>3601225000+8375722000</f>
        <v>11976947000</v>
      </c>
      <c r="AX41" s="213">
        <v>39703</v>
      </c>
      <c r="AY41" s="213">
        <v>176678</v>
      </c>
      <c r="AZ41" s="213">
        <f>96405748+156504945</f>
        <v>252910693</v>
      </c>
      <c r="BA41" s="213">
        <f>35893776+547496357</f>
        <v>583390133</v>
      </c>
      <c r="BB41" s="213"/>
      <c r="BC41" s="213">
        <v>62591</v>
      </c>
      <c r="BD41" s="213">
        <f>5800000+7908</f>
        <v>5807908</v>
      </c>
      <c r="BE41" s="213">
        <f>12277+3326</f>
        <v>15603</v>
      </c>
      <c r="BF41" s="213">
        <v>59327709</v>
      </c>
      <c r="BG41" s="213">
        <v>4727468</v>
      </c>
      <c r="BH41" s="213">
        <f>217000+1661000+46000</f>
        <v>1924000</v>
      </c>
      <c r="BI41" s="213">
        <f>46000+9000</f>
        <v>55000</v>
      </c>
      <c r="BJ41" s="213"/>
      <c r="BK41" s="213">
        <v>580</v>
      </c>
      <c r="BL41" s="213">
        <v>8933275</v>
      </c>
      <c r="BM41" s="213">
        <v>8933275</v>
      </c>
      <c r="BN41" s="213">
        <v>670</v>
      </c>
      <c r="BO41" s="213"/>
      <c r="BP41" s="213">
        <v>1568</v>
      </c>
      <c r="BQ41" s="213">
        <v>2287</v>
      </c>
      <c r="BR41" s="213">
        <v>4808</v>
      </c>
      <c r="BS41" s="213">
        <v>81243</v>
      </c>
      <c r="BT41" s="213"/>
      <c r="BU41" s="213"/>
      <c r="BV41" s="209">
        <f t="shared" ref="BV41:BV42" si="29">+B41+D41+F41+H41+J41+L41+N41+P41+R41+T41+V41+X41+Z41+AB41+AD41+AF41+AH41+AJ41+AL41+AN41+AP41+AR41+AT41+AV41+AX41+AZ41+BB41+BD41+BF41+BH41+BJ41+BL41+BN41+BP41+BR41</f>
        <v>3008902661</v>
      </c>
      <c r="BW41" s="209">
        <f t="shared" ref="BW41:BW42" si="30">+C41+E41+G41+I41+K41+M41+O41+Q41+S41+U41+W41+Y41+AA41+AC41+AE41+AG41+AI41+AK41+AM41+AO41+AQ41+AS41+AU41+AW41+AY41+BA41+BC41+BE41+BG41+BI41+BK41+BM41+BO41+BQ41+BS41</f>
        <v>14281856060</v>
      </c>
    </row>
    <row r="42" spans="1:75" x14ac:dyDescent="0.2">
      <c r="A42" s="214" t="s">
        <v>66</v>
      </c>
      <c r="B42" s="235"/>
      <c r="C42" s="235"/>
      <c r="D42" s="235">
        <f>33791913+34628274</f>
        <v>68420187</v>
      </c>
      <c r="E42" s="235">
        <f>36727982+62794000</f>
        <v>99521982</v>
      </c>
      <c r="F42" s="235"/>
      <c r="G42" s="235">
        <f>4668789+1413111</f>
        <v>6081900</v>
      </c>
      <c r="H42" s="213">
        <f>12092025+177410+10353759+6957000</f>
        <v>29580194</v>
      </c>
      <c r="I42" s="213">
        <f>15195080+96444+18000934+8991724</f>
        <v>42284182</v>
      </c>
      <c r="J42" s="213">
        <v>91980616</v>
      </c>
      <c r="K42" s="213">
        <v>118158276</v>
      </c>
      <c r="L42" s="213">
        <v>9940633</v>
      </c>
      <c r="M42" s="213">
        <v>28782570</v>
      </c>
      <c r="N42" s="213">
        <v>9200536</v>
      </c>
      <c r="O42" s="213">
        <v>17114221</v>
      </c>
      <c r="P42" s="213">
        <v>245500000</v>
      </c>
      <c r="Q42" s="213">
        <v>161646000</v>
      </c>
      <c r="R42" s="213">
        <f>26669323+36237479</f>
        <v>62906802</v>
      </c>
      <c r="S42" s="213">
        <f>20007218+60504134</f>
        <v>80511352</v>
      </c>
      <c r="T42" s="213">
        <f>142826892+22009053</f>
        <v>164835945</v>
      </c>
      <c r="U42" s="213">
        <f>20517998+62794560+58194039</f>
        <v>141506597</v>
      </c>
      <c r="V42" s="213">
        <f>1540239959+383623579</f>
        <v>1923863538</v>
      </c>
      <c r="W42" s="213">
        <f>2189099296+483377915</f>
        <v>2672477211</v>
      </c>
      <c r="X42" s="213">
        <v>568000</v>
      </c>
      <c r="Y42" s="213">
        <v>5258000</v>
      </c>
      <c r="Z42" s="213"/>
      <c r="AA42" s="213">
        <v>37826970</v>
      </c>
      <c r="AB42" s="213">
        <v>823854751</v>
      </c>
      <c r="AC42" s="213"/>
      <c r="AD42" s="213">
        <f>179073000+86318000</f>
        <v>265391000</v>
      </c>
      <c r="AE42" s="213">
        <f>160328000+314698000</f>
        <v>475026000</v>
      </c>
      <c r="AF42" s="213"/>
      <c r="AG42" s="213">
        <v>58000</v>
      </c>
      <c r="AH42" s="213"/>
      <c r="AI42" s="213">
        <v>4156000</v>
      </c>
      <c r="AJ42" s="213">
        <v>9688438</v>
      </c>
      <c r="AK42" s="213">
        <f>23464425+357428572+15368629</f>
        <v>396261626</v>
      </c>
      <c r="AL42" s="213">
        <v>164063236</v>
      </c>
      <c r="AM42" s="213">
        <v>459313439</v>
      </c>
      <c r="AN42" s="213">
        <f>1540553+343190351</f>
        <v>344730904</v>
      </c>
      <c r="AO42" s="213">
        <f>10547898+206033492</f>
        <v>216581390</v>
      </c>
      <c r="AP42" s="213">
        <v>89465597</v>
      </c>
      <c r="AQ42" s="213">
        <v>318368699</v>
      </c>
      <c r="AR42" s="213">
        <v>981554</v>
      </c>
      <c r="AS42" s="213">
        <f>4488406+1445000</f>
        <v>5933406</v>
      </c>
      <c r="AT42" s="213">
        <f>12564061+6361071</f>
        <v>18925132</v>
      </c>
      <c r="AU42" s="213">
        <f>2405269+138424703</f>
        <v>140829972</v>
      </c>
      <c r="AV42" s="213">
        <f>122864000+54789898000-7035565000</f>
        <v>47877197000</v>
      </c>
      <c r="AW42" s="213">
        <f>1047096000+31278872000</f>
        <v>32325968000</v>
      </c>
      <c r="AX42" s="213">
        <f>2627759+656280</f>
        <v>3284039</v>
      </c>
      <c r="AY42" s="213">
        <v>4702918</v>
      </c>
      <c r="AZ42" s="213">
        <f>266674+29352113</f>
        <v>29618787</v>
      </c>
      <c r="BA42" s="213">
        <f>60461+728426416</f>
        <v>728486877</v>
      </c>
      <c r="BB42" s="213"/>
      <c r="BC42" s="213">
        <f>2354608+6621843</f>
        <v>8976451</v>
      </c>
      <c r="BD42" s="213">
        <f>1471032+15470175</f>
        <v>16941207</v>
      </c>
      <c r="BE42" s="213">
        <f>6933697+20183960</f>
        <v>27117657</v>
      </c>
      <c r="BF42" s="213">
        <v>241082223</v>
      </c>
      <c r="BG42" s="213">
        <v>255994462</v>
      </c>
      <c r="BH42" s="213">
        <v>5803000</v>
      </c>
      <c r="BI42" s="213">
        <v>9060000</v>
      </c>
      <c r="BJ42" s="213">
        <v>1501</v>
      </c>
      <c r="BK42" s="213">
        <v>1101</v>
      </c>
      <c r="BL42" s="213">
        <v>3220246</v>
      </c>
      <c r="BM42" s="213">
        <v>2770062</v>
      </c>
      <c r="BN42" s="213">
        <f>16403287+8568970</f>
        <v>24972257</v>
      </c>
      <c r="BO42" s="213">
        <f>14867419+10906382</f>
        <v>25773801</v>
      </c>
      <c r="BP42" s="213">
        <f>249141+81946+66721</f>
        <v>397808</v>
      </c>
      <c r="BQ42" s="213">
        <f>212287+4067+1969+4525</f>
        <v>222848</v>
      </c>
      <c r="BR42" s="213">
        <v>10473545</v>
      </c>
      <c r="BS42" s="213">
        <v>17301905</v>
      </c>
      <c r="BT42" s="213"/>
      <c r="BU42" s="213"/>
      <c r="BV42" s="209">
        <f t="shared" si="29"/>
        <v>52536888676</v>
      </c>
      <c r="BW42" s="209">
        <f t="shared" si="30"/>
        <v>38834073875</v>
      </c>
    </row>
    <row r="43" spans="1:75" s="224" customFormat="1" x14ac:dyDescent="0.2">
      <c r="A43" s="223" t="s">
        <v>67</v>
      </c>
      <c r="B43" s="210">
        <f>+B40+B41+B42</f>
        <v>0</v>
      </c>
      <c r="C43" s="210">
        <f>+C40+C41+C42</f>
        <v>13130925</v>
      </c>
      <c r="D43" s="210">
        <f t="shared" ref="D43:AI43" si="31">+D40+D41-D42</f>
        <v>38924227</v>
      </c>
      <c r="E43" s="210">
        <f t="shared" si="31"/>
        <v>54117342</v>
      </c>
      <c r="F43" s="210">
        <f t="shared" si="31"/>
        <v>0</v>
      </c>
      <c r="G43" s="210">
        <f t="shared" si="31"/>
        <v>42948777</v>
      </c>
      <c r="H43" s="210">
        <f t="shared" si="31"/>
        <v>109453652</v>
      </c>
      <c r="I43" s="210">
        <f t="shared" si="31"/>
        <v>153823923</v>
      </c>
      <c r="J43" s="210">
        <f t="shared" si="31"/>
        <v>110463376</v>
      </c>
      <c r="K43" s="210">
        <f t="shared" si="31"/>
        <v>115318308</v>
      </c>
      <c r="L43" s="210">
        <f t="shared" si="31"/>
        <v>1756343</v>
      </c>
      <c r="M43" s="210">
        <f t="shared" si="31"/>
        <v>-227932014</v>
      </c>
      <c r="N43" s="210">
        <f t="shared" si="31"/>
        <v>6646805</v>
      </c>
      <c r="O43" s="210">
        <f t="shared" si="31"/>
        <v>29044956</v>
      </c>
      <c r="P43" s="210">
        <f t="shared" si="31"/>
        <v>272734000</v>
      </c>
      <c r="Q43" s="210">
        <f t="shared" si="31"/>
        <v>179307000</v>
      </c>
      <c r="R43" s="210">
        <f t="shared" si="31"/>
        <v>326137313</v>
      </c>
      <c r="S43" s="210">
        <f t="shared" si="31"/>
        <v>544537208</v>
      </c>
      <c r="T43" s="210">
        <f t="shared" si="31"/>
        <v>3135909626</v>
      </c>
      <c r="U43" s="210">
        <f t="shared" si="31"/>
        <v>654688411</v>
      </c>
      <c r="V43" s="210">
        <f t="shared" si="31"/>
        <v>1425514965</v>
      </c>
      <c r="W43" s="210">
        <f t="shared" si="31"/>
        <v>2048154890</v>
      </c>
      <c r="X43" s="210">
        <f t="shared" si="31"/>
        <v>1152000</v>
      </c>
      <c r="Y43" s="210">
        <f t="shared" si="31"/>
        <v>2204000</v>
      </c>
      <c r="Z43" s="210">
        <f t="shared" si="31"/>
        <v>0</v>
      </c>
      <c r="AA43" s="210">
        <f t="shared" si="31"/>
        <v>-28263931</v>
      </c>
      <c r="AB43" s="210">
        <f t="shared" si="31"/>
        <v>918344246</v>
      </c>
      <c r="AC43" s="210">
        <f t="shared" si="31"/>
        <v>291146887</v>
      </c>
      <c r="AD43" s="210">
        <f t="shared" si="31"/>
        <v>2603191000</v>
      </c>
      <c r="AE43" s="210">
        <f t="shared" si="31"/>
        <v>4735660000</v>
      </c>
      <c r="AF43" s="210">
        <f t="shared" si="31"/>
        <v>0</v>
      </c>
      <c r="AG43" s="210">
        <f t="shared" si="31"/>
        <v>1046000</v>
      </c>
      <c r="AH43" s="210">
        <f t="shared" si="31"/>
        <v>0</v>
      </c>
      <c r="AI43" s="210">
        <f t="shared" si="31"/>
        <v>211904000</v>
      </c>
      <c r="AJ43" s="210">
        <f t="shared" ref="AJ43:BW43" si="32">+AJ40+AJ41-AJ42</f>
        <v>221380713</v>
      </c>
      <c r="AK43" s="210">
        <f t="shared" si="32"/>
        <v>-32098976</v>
      </c>
      <c r="AL43" s="210">
        <f t="shared" si="32"/>
        <v>-347638696</v>
      </c>
      <c r="AM43" s="210">
        <f t="shared" si="32"/>
        <v>-577652748</v>
      </c>
      <c r="AN43" s="210">
        <f t="shared" si="32"/>
        <v>84475939</v>
      </c>
      <c r="AO43" s="210">
        <f t="shared" si="32"/>
        <v>19942176</v>
      </c>
      <c r="AP43" s="210">
        <f t="shared" si="32"/>
        <v>179205737</v>
      </c>
      <c r="AQ43" s="210">
        <f t="shared" si="32"/>
        <v>133371295</v>
      </c>
      <c r="AR43" s="210">
        <f t="shared" si="32"/>
        <v>20037044</v>
      </c>
      <c r="AS43" s="210">
        <f t="shared" si="32"/>
        <v>96559576</v>
      </c>
      <c r="AT43" s="210">
        <f t="shared" si="32"/>
        <v>57249636</v>
      </c>
      <c r="AU43" s="210">
        <f t="shared" si="32"/>
        <v>-131555201</v>
      </c>
      <c r="AV43" s="210">
        <f t="shared" si="32"/>
        <v>-19902573000</v>
      </c>
      <c r="AW43" s="210">
        <f t="shared" si="32"/>
        <v>15046556000</v>
      </c>
      <c r="AX43" s="210">
        <f t="shared" si="32"/>
        <v>15643277</v>
      </c>
      <c r="AY43" s="210">
        <f t="shared" si="32"/>
        <v>-65016608</v>
      </c>
      <c r="AZ43" s="210">
        <f t="shared" si="32"/>
        <v>5076547720</v>
      </c>
      <c r="BA43" s="210">
        <f t="shared" si="32"/>
        <v>4911573232</v>
      </c>
      <c r="BB43" s="210">
        <f t="shared" si="32"/>
        <v>0</v>
      </c>
      <c r="BC43" s="210">
        <f t="shared" si="32"/>
        <v>59596590</v>
      </c>
      <c r="BD43" s="210">
        <f t="shared" si="32"/>
        <v>80936715</v>
      </c>
      <c r="BE43" s="210">
        <f t="shared" si="32"/>
        <v>179813454</v>
      </c>
      <c r="BF43" s="210">
        <f t="shared" si="32"/>
        <v>-35918600</v>
      </c>
      <c r="BG43" s="210">
        <f t="shared" si="32"/>
        <v>50868268</v>
      </c>
      <c r="BH43" s="210">
        <f t="shared" si="32"/>
        <v>-39448000</v>
      </c>
      <c r="BI43" s="210">
        <f t="shared" si="32"/>
        <v>-89994000</v>
      </c>
      <c r="BJ43" s="210">
        <f t="shared" ref="BJ43:BU43" si="33">+BJ40+BJ41-BJ42</f>
        <v>6052</v>
      </c>
      <c r="BK43" s="210">
        <f t="shared" si="33"/>
        <v>80194</v>
      </c>
      <c r="BL43" s="210">
        <f t="shared" si="33"/>
        <v>64053888</v>
      </c>
      <c r="BM43" s="210">
        <f t="shared" si="33"/>
        <v>68237137</v>
      </c>
      <c r="BN43" s="210">
        <f t="shared" si="33"/>
        <v>-3917639</v>
      </c>
      <c r="BO43" s="210">
        <f t="shared" si="33"/>
        <v>17930388</v>
      </c>
      <c r="BP43" s="210">
        <f t="shared" si="33"/>
        <v>-255429</v>
      </c>
      <c r="BQ43" s="210">
        <f t="shared" si="33"/>
        <v>15144</v>
      </c>
      <c r="BR43" s="210">
        <f t="shared" si="33"/>
        <v>37602096</v>
      </c>
      <c r="BS43" s="210">
        <f t="shared" si="33"/>
        <v>33976761</v>
      </c>
      <c r="BT43" s="210">
        <f t="shared" si="33"/>
        <v>0</v>
      </c>
      <c r="BU43" s="210">
        <f t="shared" si="33"/>
        <v>0</v>
      </c>
      <c r="BV43" s="210">
        <f t="shared" si="32"/>
        <v>-5542384994</v>
      </c>
      <c r="BW43" s="210">
        <f t="shared" si="32"/>
        <v>28543039364</v>
      </c>
    </row>
    <row r="44" spans="1:75" x14ac:dyDescent="0.2">
      <c r="A44" s="214" t="s">
        <v>68</v>
      </c>
      <c r="B44" s="235"/>
      <c r="C44" s="235"/>
      <c r="D44" s="235">
        <v>-30853000</v>
      </c>
      <c r="E44" s="235">
        <v>-49257000</v>
      </c>
      <c r="F44" s="235"/>
      <c r="G44" s="235">
        <v>-34326360</v>
      </c>
      <c r="H44" s="235">
        <v>-46838000</v>
      </c>
      <c r="I44" s="235">
        <v>-72902023</v>
      </c>
      <c r="J44" s="235">
        <v>-48402667</v>
      </c>
      <c r="K44" s="235">
        <v>-62468451</v>
      </c>
      <c r="L44" s="235">
        <v>-614720</v>
      </c>
      <c r="M44" s="235"/>
      <c r="N44" s="235"/>
      <c r="O44" s="235">
        <v>-5787947</v>
      </c>
      <c r="P44" s="235">
        <v>-132051000</v>
      </c>
      <c r="Q44" s="235">
        <v>-84726000</v>
      </c>
      <c r="R44" s="235">
        <v>-35036653</v>
      </c>
      <c r="S44" s="235">
        <v>-212457448</v>
      </c>
      <c r="T44" s="235">
        <v>-172013500</v>
      </c>
      <c r="U44" s="235">
        <v>-177570000</v>
      </c>
      <c r="V44" s="235">
        <f>-470600000+90186336</f>
        <v>-380413664</v>
      </c>
      <c r="W44" s="235">
        <v>-737160000</v>
      </c>
      <c r="X44" s="235">
        <v>-482000</v>
      </c>
      <c r="Y44" s="235">
        <v>-805000</v>
      </c>
      <c r="Z44" s="235"/>
      <c r="AA44" s="235"/>
      <c r="AB44" s="235">
        <v>-91576000</v>
      </c>
      <c r="AC44" s="235">
        <v>-738720811</v>
      </c>
      <c r="AD44" s="235">
        <v>-1009940000</v>
      </c>
      <c r="AE44" s="235">
        <v>-1735800000</v>
      </c>
      <c r="AF44" s="235"/>
      <c r="AG44" s="235"/>
      <c r="AH44" s="235"/>
      <c r="AI44" s="235">
        <v>-74166400</v>
      </c>
      <c r="AJ44" s="235">
        <v>-78549470</v>
      </c>
      <c r="AK44" s="235"/>
      <c r="AL44" s="235"/>
      <c r="AM44" s="235"/>
      <c r="AN44" s="235">
        <f>-44434919-27155667</f>
        <v>-71590586</v>
      </c>
      <c r="AO44" s="235">
        <f>-32355000+27453935</f>
        <v>-4901065</v>
      </c>
      <c r="AP44" s="235">
        <v>-111263249</v>
      </c>
      <c r="AQ44" s="235">
        <v>-110330128</v>
      </c>
      <c r="AR44" s="235">
        <v>-7012965</v>
      </c>
      <c r="AS44" s="235">
        <v>-15730000</v>
      </c>
      <c r="AT44" s="235">
        <v>-19719319</v>
      </c>
      <c r="AU44" s="235"/>
      <c r="AV44" s="235">
        <v>-2715938000</v>
      </c>
      <c r="AW44" s="235">
        <f>-(7313487000)</f>
        <v>-7313487000</v>
      </c>
      <c r="AX44" s="235">
        <v>-5475147</v>
      </c>
      <c r="AY44" s="235"/>
      <c r="AZ44" s="235">
        <v>-1025387831</v>
      </c>
      <c r="BA44" s="235">
        <v>-1092346185</v>
      </c>
      <c r="BB44" s="235"/>
      <c r="BC44" s="235">
        <v>-23176451</v>
      </c>
      <c r="BD44" s="235">
        <v>-37823000</v>
      </c>
      <c r="BE44" s="235">
        <v>-81565575</v>
      </c>
      <c r="BF44" s="235">
        <v>-32980296</v>
      </c>
      <c r="BG44" s="235">
        <v>-28803894</v>
      </c>
      <c r="BH44" s="235"/>
      <c r="BI44" s="235"/>
      <c r="BJ44" s="235">
        <v>-2644</v>
      </c>
      <c r="BK44" s="235">
        <v>-28272</v>
      </c>
      <c r="BL44" s="235">
        <v>-22418861</v>
      </c>
      <c r="BM44" s="235">
        <v>-23882998</v>
      </c>
      <c r="BN44" s="235">
        <v>-7800000</v>
      </c>
      <c r="BO44" s="235">
        <v>-5052000</v>
      </c>
      <c r="BP44" s="235"/>
      <c r="BQ44" s="235"/>
      <c r="BR44" s="235">
        <v>-19097130</v>
      </c>
      <c r="BS44" s="235">
        <v>-18053000</v>
      </c>
      <c r="BT44" s="235"/>
      <c r="BU44" s="235"/>
      <c r="BV44" s="209">
        <f t="shared" ref="BV44" si="34">+B44+D44+F44+H44+J44+L44+N44+P44+R44+T44+V44+X44+Z44+AB44+AD44+AF44+AH44+AJ44+AL44+AN44+AP44+AR44+AT44+AV44+AX44+AZ44+BB44+BD44+BF44+BH44+BJ44+BL44+BN44+BP44+BR44</f>
        <v>-6103279702</v>
      </c>
      <c r="BW44" s="209">
        <f t="shared" ref="BW44" si="35">+C44+E44+G44+I44+K44+M44+O44+Q44+S44+U44+W44+Y44+AA44+AC44+AE44+AG44+AI44+AK44+AM44+AO44+AQ44+AS44+AU44+AW44+AY44+BA44+BC44+BE44+BG44+BI44+BK44+BM44+BO44+BQ44+BS44</f>
        <v>-12703504008</v>
      </c>
    </row>
    <row r="45" spans="1:75" s="224" customFormat="1" x14ac:dyDescent="0.2">
      <c r="A45" s="223" t="s">
        <v>69</v>
      </c>
      <c r="B45" s="210">
        <f t="shared" ref="B45:AG45" si="36">+B43+B44</f>
        <v>0</v>
      </c>
      <c r="C45" s="210">
        <f t="shared" si="36"/>
        <v>13130925</v>
      </c>
      <c r="D45" s="210">
        <f t="shared" si="36"/>
        <v>8071227</v>
      </c>
      <c r="E45" s="210">
        <f t="shared" si="36"/>
        <v>4860342</v>
      </c>
      <c r="F45" s="210">
        <f t="shared" si="36"/>
        <v>0</v>
      </c>
      <c r="G45" s="210">
        <f t="shared" si="36"/>
        <v>8622417</v>
      </c>
      <c r="H45" s="210">
        <f t="shared" si="36"/>
        <v>62615652</v>
      </c>
      <c r="I45" s="210">
        <f t="shared" si="36"/>
        <v>80921900</v>
      </c>
      <c r="J45" s="210">
        <f t="shared" si="36"/>
        <v>62060709</v>
      </c>
      <c r="K45" s="210">
        <f t="shared" si="36"/>
        <v>52849857</v>
      </c>
      <c r="L45" s="210">
        <f t="shared" si="36"/>
        <v>1141623</v>
      </c>
      <c r="M45" s="210">
        <f t="shared" si="36"/>
        <v>-227932014</v>
      </c>
      <c r="N45" s="210">
        <f t="shared" si="36"/>
        <v>6646805</v>
      </c>
      <c r="O45" s="210">
        <f t="shared" si="36"/>
        <v>23257009</v>
      </c>
      <c r="P45" s="210">
        <f t="shared" si="36"/>
        <v>140683000</v>
      </c>
      <c r="Q45" s="210">
        <f t="shared" si="36"/>
        <v>94581000</v>
      </c>
      <c r="R45" s="210">
        <f t="shared" si="36"/>
        <v>291100660</v>
      </c>
      <c r="S45" s="210">
        <f t="shared" si="36"/>
        <v>332079760</v>
      </c>
      <c r="T45" s="210">
        <f t="shared" si="36"/>
        <v>2963896126</v>
      </c>
      <c r="U45" s="210">
        <f t="shared" si="36"/>
        <v>477118411</v>
      </c>
      <c r="V45" s="210">
        <f t="shared" si="36"/>
        <v>1045101301</v>
      </c>
      <c r="W45" s="210">
        <f t="shared" si="36"/>
        <v>1310994890</v>
      </c>
      <c r="X45" s="210">
        <f t="shared" si="36"/>
        <v>670000</v>
      </c>
      <c r="Y45" s="210">
        <f t="shared" si="36"/>
        <v>1399000</v>
      </c>
      <c r="Z45" s="210">
        <f t="shared" si="36"/>
        <v>0</v>
      </c>
      <c r="AA45" s="210">
        <f t="shared" si="36"/>
        <v>-28263931</v>
      </c>
      <c r="AB45" s="210">
        <f t="shared" si="36"/>
        <v>826768246</v>
      </c>
      <c r="AC45" s="210">
        <f t="shared" si="36"/>
        <v>-447573924</v>
      </c>
      <c r="AD45" s="210">
        <f t="shared" si="36"/>
        <v>1593251000</v>
      </c>
      <c r="AE45" s="210">
        <f t="shared" si="36"/>
        <v>2999860000</v>
      </c>
      <c r="AF45" s="210">
        <f t="shared" si="36"/>
        <v>0</v>
      </c>
      <c r="AG45" s="210">
        <f t="shared" si="36"/>
        <v>1046000</v>
      </c>
      <c r="AH45" s="210">
        <f t="shared" ref="AH45:BW45" si="37">+AH43+AH44</f>
        <v>0</v>
      </c>
      <c r="AI45" s="210">
        <f t="shared" si="37"/>
        <v>137737600</v>
      </c>
      <c r="AJ45" s="210">
        <f t="shared" si="37"/>
        <v>142831243</v>
      </c>
      <c r="AK45" s="210">
        <f t="shared" si="37"/>
        <v>-32098976</v>
      </c>
      <c r="AL45" s="210">
        <f t="shared" si="37"/>
        <v>-347638696</v>
      </c>
      <c r="AM45" s="210">
        <f t="shared" si="37"/>
        <v>-577652748</v>
      </c>
      <c r="AN45" s="210">
        <f t="shared" si="37"/>
        <v>12885353</v>
      </c>
      <c r="AO45" s="210">
        <f t="shared" si="37"/>
        <v>15041111</v>
      </c>
      <c r="AP45" s="210">
        <f t="shared" si="37"/>
        <v>67942488</v>
      </c>
      <c r="AQ45" s="210">
        <f t="shared" si="37"/>
        <v>23041167</v>
      </c>
      <c r="AR45" s="210">
        <f t="shared" si="37"/>
        <v>13024079</v>
      </c>
      <c r="AS45" s="210">
        <f t="shared" si="37"/>
        <v>80829576</v>
      </c>
      <c r="AT45" s="210">
        <f t="shared" si="37"/>
        <v>37530317</v>
      </c>
      <c r="AU45" s="210">
        <f t="shared" si="37"/>
        <v>-131555201</v>
      </c>
      <c r="AV45" s="210">
        <f t="shared" si="37"/>
        <v>-22618511000</v>
      </c>
      <c r="AW45" s="210">
        <f t="shared" si="37"/>
        <v>7733069000</v>
      </c>
      <c r="AX45" s="210">
        <f t="shared" si="37"/>
        <v>10168130</v>
      </c>
      <c r="AY45" s="210">
        <f t="shared" si="37"/>
        <v>-65016608</v>
      </c>
      <c r="AZ45" s="210">
        <f t="shared" si="37"/>
        <v>4051159889</v>
      </c>
      <c r="BA45" s="210">
        <f t="shared" si="37"/>
        <v>3819227047</v>
      </c>
      <c r="BB45" s="210">
        <f t="shared" si="37"/>
        <v>0</v>
      </c>
      <c r="BC45" s="210">
        <f t="shared" si="37"/>
        <v>36420139</v>
      </c>
      <c r="BD45" s="210">
        <f t="shared" si="37"/>
        <v>43113715</v>
      </c>
      <c r="BE45" s="210">
        <f t="shared" si="37"/>
        <v>98247879</v>
      </c>
      <c r="BF45" s="210">
        <f t="shared" si="37"/>
        <v>-68898896</v>
      </c>
      <c r="BG45" s="210">
        <f t="shared" si="37"/>
        <v>22064374</v>
      </c>
      <c r="BH45" s="210">
        <f t="shared" si="37"/>
        <v>-39448000</v>
      </c>
      <c r="BI45" s="210">
        <f t="shared" si="37"/>
        <v>-89994000</v>
      </c>
      <c r="BJ45" s="210">
        <f t="shared" ref="BJ45:BU45" si="38">+BJ43+BJ44</f>
        <v>3408</v>
      </c>
      <c r="BK45" s="210">
        <f t="shared" si="38"/>
        <v>51922</v>
      </c>
      <c r="BL45" s="210">
        <f t="shared" si="38"/>
        <v>41635027</v>
      </c>
      <c r="BM45" s="210">
        <f t="shared" si="38"/>
        <v>44354139</v>
      </c>
      <c r="BN45" s="210">
        <f t="shared" si="38"/>
        <v>-11717639</v>
      </c>
      <c r="BO45" s="210">
        <f t="shared" si="38"/>
        <v>12878388</v>
      </c>
      <c r="BP45" s="210">
        <f t="shared" si="38"/>
        <v>-255429</v>
      </c>
      <c r="BQ45" s="210">
        <f t="shared" si="38"/>
        <v>15144</v>
      </c>
      <c r="BR45" s="210">
        <f t="shared" si="38"/>
        <v>18504966</v>
      </c>
      <c r="BS45" s="210">
        <f t="shared" si="38"/>
        <v>15923761</v>
      </c>
      <c r="BT45" s="210">
        <f t="shared" si="38"/>
        <v>0</v>
      </c>
      <c r="BU45" s="210">
        <f t="shared" si="38"/>
        <v>0</v>
      </c>
      <c r="BV45" s="210">
        <f t="shared" si="37"/>
        <v>-11645664696</v>
      </c>
      <c r="BW45" s="210">
        <f t="shared" si="37"/>
        <v>15839535356</v>
      </c>
    </row>
    <row r="46" spans="1:75" x14ac:dyDescent="0.2">
      <c r="A46" s="214" t="s">
        <v>98</v>
      </c>
      <c r="B46" s="235"/>
      <c r="C46" s="235"/>
      <c r="D46" s="235"/>
      <c r="E46" s="235"/>
      <c r="F46" s="235"/>
      <c r="G46" s="235"/>
      <c r="H46" s="235"/>
      <c r="I46" s="235"/>
      <c r="J46" s="235"/>
      <c r="K46" s="235"/>
      <c r="L46" s="235"/>
      <c r="M46" s="235"/>
      <c r="N46" s="235"/>
      <c r="O46" s="235"/>
      <c r="P46" s="235"/>
      <c r="Q46" s="235"/>
      <c r="R46" s="235"/>
      <c r="S46" s="235"/>
      <c r="T46" s="235">
        <v>-497512986</v>
      </c>
      <c r="U46" s="235">
        <v>48469846</v>
      </c>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09">
        <f t="shared" ref="BV46" si="39">+B46+D46+F46+H46+J46+L46+N46+P46+R46+T46+V46+X46+Z46+AB46+AD46+AF46+AH46+AJ46+AL46+AN46+AP46+AR46+AT46+AV46+AX46+AZ46+BB46+BD46+BF46+BH46+BJ46+BL46+BN46+BP46+BR46</f>
        <v>-497512986</v>
      </c>
      <c r="BW46" s="209">
        <f t="shared" ref="BW46" si="40">+C46+E46+G46+I46+K46+M46+O46+Q46+S46+U46+W46+Y46+AA46+AC46+AE46+AG46+AI46+AK46+AM46+AO46+AQ46+AS46+AU46+AW46+AY46+BA46+BC46+BE46+BG46+BI46+BK46+BM46+BO46+BQ46+BS46</f>
        <v>48469846</v>
      </c>
    </row>
    <row r="47" spans="1:75" s="224" customFormat="1" x14ac:dyDescent="0.2">
      <c r="A47" s="223" t="s">
        <v>183</v>
      </c>
      <c r="B47" s="210">
        <f t="shared" ref="B47:AG47" si="41">+B45+B46</f>
        <v>0</v>
      </c>
      <c r="C47" s="210">
        <f t="shared" si="41"/>
        <v>13130925</v>
      </c>
      <c r="D47" s="210">
        <f t="shared" si="41"/>
        <v>8071227</v>
      </c>
      <c r="E47" s="210">
        <f t="shared" si="41"/>
        <v>4860342</v>
      </c>
      <c r="F47" s="210">
        <f t="shared" si="41"/>
        <v>0</v>
      </c>
      <c r="G47" s="210">
        <f t="shared" si="41"/>
        <v>8622417</v>
      </c>
      <c r="H47" s="210">
        <f t="shared" si="41"/>
        <v>62615652</v>
      </c>
      <c r="I47" s="210">
        <f t="shared" si="41"/>
        <v>80921900</v>
      </c>
      <c r="J47" s="210">
        <f t="shared" si="41"/>
        <v>62060709</v>
      </c>
      <c r="K47" s="210">
        <f t="shared" si="41"/>
        <v>52849857</v>
      </c>
      <c r="L47" s="210">
        <f t="shared" si="41"/>
        <v>1141623</v>
      </c>
      <c r="M47" s="210">
        <f t="shared" si="41"/>
        <v>-227932014</v>
      </c>
      <c r="N47" s="210">
        <f t="shared" si="41"/>
        <v>6646805</v>
      </c>
      <c r="O47" s="210">
        <f t="shared" si="41"/>
        <v>23257009</v>
      </c>
      <c r="P47" s="210">
        <f t="shared" si="41"/>
        <v>140683000</v>
      </c>
      <c r="Q47" s="210">
        <f t="shared" si="41"/>
        <v>94581000</v>
      </c>
      <c r="R47" s="210">
        <f t="shared" si="41"/>
        <v>291100660</v>
      </c>
      <c r="S47" s="210">
        <f t="shared" si="41"/>
        <v>332079760</v>
      </c>
      <c r="T47" s="210">
        <f t="shared" si="41"/>
        <v>2466383140</v>
      </c>
      <c r="U47" s="210">
        <f t="shared" si="41"/>
        <v>525588257</v>
      </c>
      <c r="V47" s="210">
        <f t="shared" si="41"/>
        <v>1045101301</v>
      </c>
      <c r="W47" s="210">
        <f t="shared" si="41"/>
        <v>1310994890</v>
      </c>
      <c r="X47" s="210">
        <f t="shared" si="41"/>
        <v>670000</v>
      </c>
      <c r="Y47" s="210">
        <f t="shared" si="41"/>
        <v>1399000</v>
      </c>
      <c r="Z47" s="210">
        <f t="shared" si="41"/>
        <v>0</v>
      </c>
      <c r="AA47" s="210">
        <f t="shared" si="41"/>
        <v>-28263931</v>
      </c>
      <c r="AB47" s="210">
        <f t="shared" si="41"/>
        <v>826768246</v>
      </c>
      <c r="AC47" s="210">
        <f t="shared" si="41"/>
        <v>-447573924</v>
      </c>
      <c r="AD47" s="210">
        <f t="shared" si="41"/>
        <v>1593251000</v>
      </c>
      <c r="AE47" s="210">
        <f t="shared" si="41"/>
        <v>2999860000</v>
      </c>
      <c r="AF47" s="210">
        <f t="shared" si="41"/>
        <v>0</v>
      </c>
      <c r="AG47" s="210">
        <f t="shared" si="41"/>
        <v>1046000</v>
      </c>
      <c r="AH47" s="210">
        <f t="shared" ref="AH47:BW47" si="42">+AH45+AH46</f>
        <v>0</v>
      </c>
      <c r="AI47" s="210">
        <f t="shared" si="42"/>
        <v>137737600</v>
      </c>
      <c r="AJ47" s="210">
        <f t="shared" si="42"/>
        <v>142831243</v>
      </c>
      <c r="AK47" s="210">
        <f t="shared" si="42"/>
        <v>-32098976</v>
      </c>
      <c r="AL47" s="210">
        <f t="shared" si="42"/>
        <v>-347638696</v>
      </c>
      <c r="AM47" s="210">
        <f t="shared" si="42"/>
        <v>-577652748</v>
      </c>
      <c r="AN47" s="210">
        <f t="shared" si="42"/>
        <v>12885353</v>
      </c>
      <c r="AO47" s="210">
        <f t="shared" si="42"/>
        <v>15041111</v>
      </c>
      <c r="AP47" s="210">
        <f t="shared" si="42"/>
        <v>67942488</v>
      </c>
      <c r="AQ47" s="210">
        <f t="shared" si="42"/>
        <v>23041167</v>
      </c>
      <c r="AR47" s="210">
        <f t="shared" si="42"/>
        <v>13024079</v>
      </c>
      <c r="AS47" s="210">
        <f t="shared" si="42"/>
        <v>80829576</v>
      </c>
      <c r="AT47" s="210">
        <f t="shared" si="42"/>
        <v>37530317</v>
      </c>
      <c r="AU47" s="210">
        <f t="shared" si="42"/>
        <v>-131555201</v>
      </c>
      <c r="AV47" s="210">
        <f t="shared" si="42"/>
        <v>-22618511000</v>
      </c>
      <c r="AW47" s="210">
        <f t="shared" si="42"/>
        <v>7733069000</v>
      </c>
      <c r="AX47" s="210">
        <f t="shared" si="42"/>
        <v>10168130</v>
      </c>
      <c r="AY47" s="210">
        <f t="shared" si="42"/>
        <v>-65016608</v>
      </c>
      <c r="AZ47" s="210">
        <f t="shared" si="42"/>
        <v>4051159889</v>
      </c>
      <c r="BA47" s="210">
        <f t="shared" si="42"/>
        <v>3819227047</v>
      </c>
      <c r="BB47" s="210">
        <f t="shared" si="42"/>
        <v>0</v>
      </c>
      <c r="BC47" s="210">
        <f t="shared" si="42"/>
        <v>36420139</v>
      </c>
      <c r="BD47" s="210">
        <f t="shared" si="42"/>
        <v>43113715</v>
      </c>
      <c r="BE47" s="210">
        <f t="shared" si="42"/>
        <v>98247879</v>
      </c>
      <c r="BF47" s="210">
        <f t="shared" si="42"/>
        <v>-68898896</v>
      </c>
      <c r="BG47" s="210">
        <f t="shared" si="42"/>
        <v>22064374</v>
      </c>
      <c r="BH47" s="210">
        <f t="shared" si="42"/>
        <v>-39448000</v>
      </c>
      <c r="BI47" s="210">
        <f t="shared" si="42"/>
        <v>-89994000</v>
      </c>
      <c r="BJ47" s="210">
        <f t="shared" ref="BJ47:BU47" si="43">+BJ45+BJ46</f>
        <v>3408</v>
      </c>
      <c r="BK47" s="210">
        <f t="shared" si="43"/>
        <v>51922</v>
      </c>
      <c r="BL47" s="210">
        <f t="shared" si="43"/>
        <v>41635027</v>
      </c>
      <c r="BM47" s="210">
        <f t="shared" si="43"/>
        <v>44354139</v>
      </c>
      <c r="BN47" s="210">
        <f t="shared" si="43"/>
        <v>-11717639</v>
      </c>
      <c r="BO47" s="210">
        <f t="shared" si="43"/>
        <v>12878388</v>
      </c>
      <c r="BP47" s="210">
        <f t="shared" si="43"/>
        <v>-255429</v>
      </c>
      <c r="BQ47" s="210">
        <f t="shared" si="43"/>
        <v>15144</v>
      </c>
      <c r="BR47" s="210">
        <f t="shared" si="43"/>
        <v>18504966</v>
      </c>
      <c r="BS47" s="210">
        <f t="shared" si="43"/>
        <v>15923761</v>
      </c>
      <c r="BT47" s="210">
        <f t="shared" si="43"/>
        <v>0</v>
      </c>
      <c r="BU47" s="210">
        <f t="shared" si="43"/>
        <v>0</v>
      </c>
      <c r="BV47" s="210">
        <f t="shared" si="42"/>
        <v>-12143177682</v>
      </c>
      <c r="BW47" s="210">
        <f t="shared" si="42"/>
        <v>15888005202</v>
      </c>
    </row>
    <row r="48" spans="1:75" s="216" customFormat="1" x14ac:dyDescent="0.2">
      <c r="A48" s="238"/>
      <c r="B48" s="238"/>
      <c r="C48" s="238"/>
      <c r="D48" s="238"/>
      <c r="E48" s="238"/>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row>
    <row r="49" spans="1:75" s="216" customFormat="1" x14ac:dyDescent="0.2">
      <c r="A49" s="238" t="s">
        <v>99</v>
      </c>
      <c r="B49" s="241">
        <f t="shared" ref="B49:AG49" si="44">+B12-B33</f>
        <v>0</v>
      </c>
      <c r="C49" s="241">
        <f t="shared" si="44"/>
        <v>0</v>
      </c>
      <c r="D49" s="241">
        <f t="shared" si="44"/>
        <v>0</v>
      </c>
      <c r="E49" s="241">
        <f t="shared" si="44"/>
        <v>0</v>
      </c>
      <c r="F49" s="241">
        <f t="shared" si="44"/>
        <v>0</v>
      </c>
      <c r="G49" s="241">
        <f t="shared" si="44"/>
        <v>0</v>
      </c>
      <c r="H49" s="241">
        <f t="shared" si="44"/>
        <v>0</v>
      </c>
      <c r="I49" s="241">
        <f t="shared" si="44"/>
        <v>0</v>
      </c>
      <c r="J49" s="241">
        <f t="shared" si="44"/>
        <v>0</v>
      </c>
      <c r="K49" s="241">
        <f t="shared" si="44"/>
        <v>0</v>
      </c>
      <c r="L49" s="241">
        <f t="shared" si="44"/>
        <v>0</v>
      </c>
      <c r="M49" s="241">
        <f t="shared" si="44"/>
        <v>0</v>
      </c>
      <c r="N49" s="241">
        <f t="shared" si="44"/>
        <v>0</v>
      </c>
      <c r="O49" s="241">
        <f t="shared" si="44"/>
        <v>0</v>
      </c>
      <c r="P49" s="241">
        <f t="shared" si="44"/>
        <v>0</v>
      </c>
      <c r="Q49" s="241">
        <f t="shared" si="44"/>
        <v>0</v>
      </c>
      <c r="R49" s="241">
        <f t="shared" si="44"/>
        <v>0</v>
      </c>
      <c r="S49" s="241">
        <f t="shared" si="44"/>
        <v>0</v>
      </c>
      <c r="T49" s="241">
        <f t="shared" si="44"/>
        <v>0</v>
      </c>
      <c r="U49" s="241">
        <f t="shared" si="44"/>
        <v>0</v>
      </c>
      <c r="V49" s="241">
        <f t="shared" si="44"/>
        <v>0</v>
      </c>
      <c r="W49" s="241">
        <f t="shared" si="44"/>
        <v>0</v>
      </c>
      <c r="X49" s="241">
        <f t="shared" si="44"/>
        <v>0</v>
      </c>
      <c r="Y49" s="241">
        <f t="shared" si="44"/>
        <v>0</v>
      </c>
      <c r="Z49" s="241">
        <f t="shared" si="44"/>
        <v>0</v>
      </c>
      <c r="AA49" s="241">
        <f t="shared" si="44"/>
        <v>0</v>
      </c>
      <c r="AB49" s="241">
        <f t="shared" si="44"/>
        <v>0</v>
      </c>
      <c r="AC49" s="241">
        <f t="shared" si="44"/>
        <v>0</v>
      </c>
      <c r="AD49" s="241">
        <f t="shared" si="44"/>
        <v>0</v>
      </c>
      <c r="AE49" s="241">
        <f t="shared" si="44"/>
        <v>0</v>
      </c>
      <c r="AF49" s="241">
        <f t="shared" si="44"/>
        <v>0</v>
      </c>
      <c r="AG49" s="241">
        <f t="shared" si="44"/>
        <v>0</v>
      </c>
      <c r="AH49" s="241">
        <f t="shared" ref="AH49:BG49" si="45">+AH12-AH33</f>
        <v>0</v>
      </c>
      <c r="AI49" s="241">
        <f t="shared" si="45"/>
        <v>0</v>
      </c>
      <c r="AJ49" s="241">
        <f t="shared" si="45"/>
        <v>0</v>
      </c>
      <c r="AK49" s="241">
        <f t="shared" si="45"/>
        <v>0</v>
      </c>
      <c r="AL49" s="241">
        <f t="shared" si="45"/>
        <v>0</v>
      </c>
      <c r="AM49" s="241">
        <f t="shared" si="45"/>
        <v>0</v>
      </c>
      <c r="AN49" s="241">
        <f t="shared" si="45"/>
        <v>0</v>
      </c>
      <c r="AO49" s="241">
        <f t="shared" si="45"/>
        <v>0</v>
      </c>
      <c r="AP49" s="241">
        <f t="shared" si="45"/>
        <v>0</v>
      </c>
      <c r="AQ49" s="241">
        <f t="shared" si="45"/>
        <v>0</v>
      </c>
      <c r="AR49" s="241">
        <f t="shared" si="45"/>
        <v>0</v>
      </c>
      <c r="AS49" s="241">
        <f t="shared" si="45"/>
        <v>0</v>
      </c>
      <c r="AT49" s="241">
        <f t="shared" si="45"/>
        <v>0</v>
      </c>
      <c r="AU49" s="241">
        <f t="shared" si="45"/>
        <v>0</v>
      </c>
      <c r="AV49" s="241">
        <f t="shared" si="45"/>
        <v>0</v>
      </c>
      <c r="AW49" s="241">
        <f t="shared" si="45"/>
        <v>0</v>
      </c>
      <c r="AX49" s="241">
        <f t="shared" si="45"/>
        <v>0</v>
      </c>
      <c r="AY49" s="241">
        <f t="shared" si="45"/>
        <v>0</v>
      </c>
      <c r="AZ49" s="241">
        <f t="shared" si="45"/>
        <v>0</v>
      </c>
      <c r="BA49" s="241">
        <f t="shared" si="45"/>
        <v>0</v>
      </c>
      <c r="BB49" s="241">
        <f t="shared" si="45"/>
        <v>0</v>
      </c>
      <c r="BC49" s="241">
        <f t="shared" si="45"/>
        <v>0</v>
      </c>
      <c r="BD49" s="241">
        <f t="shared" si="45"/>
        <v>0</v>
      </c>
      <c r="BE49" s="241">
        <f t="shared" si="45"/>
        <v>0</v>
      </c>
      <c r="BF49" s="241">
        <f t="shared" si="45"/>
        <v>0</v>
      </c>
      <c r="BG49" s="241">
        <f t="shared" si="45"/>
        <v>0</v>
      </c>
      <c r="BH49" s="241">
        <f t="shared" ref="BH49:BI49" si="46">+BH12-BH33</f>
        <v>0</v>
      </c>
      <c r="BI49" s="241">
        <f t="shared" si="46"/>
        <v>0</v>
      </c>
      <c r="BJ49" s="241">
        <f t="shared" ref="BJ49:BW49" si="47">+BJ12-BJ33</f>
        <v>0</v>
      </c>
      <c r="BK49" s="241">
        <f t="shared" si="47"/>
        <v>0</v>
      </c>
      <c r="BL49" s="241">
        <f t="shared" si="47"/>
        <v>0</v>
      </c>
      <c r="BM49" s="241">
        <f t="shared" si="47"/>
        <v>0</v>
      </c>
      <c r="BN49" s="241">
        <f t="shared" si="47"/>
        <v>0</v>
      </c>
      <c r="BO49" s="241">
        <f t="shared" si="47"/>
        <v>0</v>
      </c>
      <c r="BP49" s="241">
        <f t="shared" si="47"/>
        <v>0</v>
      </c>
      <c r="BQ49" s="241">
        <f t="shared" si="47"/>
        <v>0</v>
      </c>
      <c r="BR49" s="241">
        <f t="shared" si="47"/>
        <v>0</v>
      </c>
      <c r="BS49" s="241">
        <f t="shared" si="47"/>
        <v>0</v>
      </c>
      <c r="BT49" s="241">
        <f t="shared" si="47"/>
        <v>0</v>
      </c>
      <c r="BU49" s="241">
        <f t="shared" si="47"/>
        <v>0</v>
      </c>
      <c r="BV49" s="241">
        <f t="shared" si="47"/>
        <v>0</v>
      </c>
      <c r="BW49" s="241">
        <f t="shared" si="47"/>
        <v>0</v>
      </c>
    </row>
    <row r="50" spans="1:75" s="216" customFormat="1" x14ac:dyDescent="0.2">
      <c r="A50" s="238" t="s">
        <v>100</v>
      </c>
      <c r="B50" s="241"/>
      <c r="C50" s="241">
        <v>13130925</v>
      </c>
      <c r="D50" s="241">
        <v>8071227</v>
      </c>
      <c r="E50" s="241">
        <v>4860342</v>
      </c>
      <c r="F50" s="241"/>
      <c r="G50" s="241">
        <v>8622417</v>
      </c>
      <c r="H50" s="241">
        <v>62615652</v>
      </c>
      <c r="I50" s="241">
        <v>80921900</v>
      </c>
      <c r="J50" s="241">
        <v>62060709</v>
      </c>
      <c r="K50" s="241">
        <v>52849857</v>
      </c>
      <c r="L50" s="241">
        <v>1141623</v>
      </c>
      <c r="M50" s="241">
        <v>-227932014</v>
      </c>
      <c r="N50" s="241">
        <v>6646805</v>
      </c>
      <c r="O50" s="241">
        <v>23257009</v>
      </c>
      <c r="P50" s="241">
        <v>140683000</v>
      </c>
      <c r="Q50" s="241">
        <v>94581000</v>
      </c>
      <c r="R50" s="241">
        <v>291100660</v>
      </c>
      <c r="S50" s="241">
        <v>332079760</v>
      </c>
      <c r="T50" s="241">
        <v>2466383140</v>
      </c>
      <c r="U50" s="241">
        <v>525588257</v>
      </c>
      <c r="V50" s="241">
        <v>1045101301</v>
      </c>
      <c r="W50" s="241">
        <v>1310994890</v>
      </c>
      <c r="X50" s="241">
        <v>670000</v>
      </c>
      <c r="Y50" s="241">
        <v>1399000</v>
      </c>
      <c r="Z50" s="241"/>
      <c r="AA50" s="241">
        <v>-28263931</v>
      </c>
      <c r="AB50" s="241">
        <v>826768246</v>
      </c>
      <c r="AC50" s="241">
        <v>-447573924</v>
      </c>
      <c r="AD50" s="241">
        <v>1593251000</v>
      </c>
      <c r="AE50" s="241">
        <v>2999860000</v>
      </c>
      <c r="AF50" s="241"/>
      <c r="AG50" s="241">
        <v>1046000</v>
      </c>
      <c r="AH50" s="241"/>
      <c r="AI50" s="241">
        <v>137737600</v>
      </c>
      <c r="AJ50" s="241">
        <v>142831243</v>
      </c>
      <c r="AK50" s="241">
        <v>-32098976</v>
      </c>
      <c r="AL50" s="241">
        <v>-347638696</v>
      </c>
      <c r="AM50" s="241">
        <v>-577652748</v>
      </c>
      <c r="AN50" s="241">
        <v>12885353</v>
      </c>
      <c r="AO50" s="241">
        <v>15041111</v>
      </c>
      <c r="AP50" s="241">
        <v>67942488</v>
      </c>
      <c r="AQ50" s="241">
        <v>23041167</v>
      </c>
      <c r="AR50" s="241">
        <v>13024079</v>
      </c>
      <c r="AS50" s="241">
        <v>80829576</v>
      </c>
      <c r="AT50" s="241">
        <v>37530317</v>
      </c>
      <c r="AU50" s="241">
        <v>-131555201</v>
      </c>
      <c r="AV50" s="241">
        <v>-22618511000</v>
      </c>
      <c r="AW50" s="241">
        <v>7733069000</v>
      </c>
      <c r="AX50" s="241">
        <v>10168130</v>
      </c>
      <c r="AY50" s="241">
        <v>-65016608</v>
      </c>
      <c r="AZ50" s="241">
        <v>4051159889</v>
      </c>
      <c r="BA50" s="241">
        <v>3819227047</v>
      </c>
      <c r="BB50" s="241"/>
      <c r="BC50" s="241">
        <v>36420139</v>
      </c>
      <c r="BD50" s="241">
        <v>43113715</v>
      </c>
      <c r="BE50" s="241">
        <v>98247879</v>
      </c>
      <c r="BF50" s="241">
        <v>-68898896</v>
      </c>
      <c r="BG50" s="241">
        <v>22064374</v>
      </c>
      <c r="BH50" s="241">
        <v>-39448000</v>
      </c>
      <c r="BI50" s="241">
        <v>-89994000</v>
      </c>
      <c r="BJ50" s="241">
        <v>3408</v>
      </c>
      <c r="BK50" s="241">
        <v>51922</v>
      </c>
      <c r="BL50" s="241">
        <v>41635027</v>
      </c>
      <c r="BM50" s="241">
        <v>44354139</v>
      </c>
      <c r="BN50" s="241">
        <v>-11717639</v>
      </c>
      <c r="BO50" s="241">
        <v>12878388</v>
      </c>
      <c r="BP50" s="241">
        <v>-255429</v>
      </c>
      <c r="BQ50" s="241">
        <v>15144</v>
      </c>
      <c r="BR50" s="241">
        <v>18504966</v>
      </c>
      <c r="BS50" s="241">
        <v>15923761</v>
      </c>
      <c r="BT50" s="241"/>
      <c r="BU50" s="241"/>
      <c r="BV50" s="241">
        <v>-11645664696</v>
      </c>
      <c r="BW50" s="241">
        <v>15839535356</v>
      </c>
    </row>
    <row r="51" spans="1:75" s="216" customFormat="1" x14ac:dyDescent="0.2">
      <c r="A51" s="238" t="s">
        <v>101</v>
      </c>
      <c r="B51" s="241">
        <f t="shared" ref="B51:S51" si="48">+B45-B50</f>
        <v>0</v>
      </c>
      <c r="C51" s="241">
        <f t="shared" si="48"/>
        <v>0</v>
      </c>
      <c r="D51" s="241">
        <f t="shared" si="48"/>
        <v>0</v>
      </c>
      <c r="E51" s="241">
        <f t="shared" si="48"/>
        <v>0</v>
      </c>
      <c r="F51" s="241">
        <f t="shared" si="48"/>
        <v>0</v>
      </c>
      <c r="G51" s="241">
        <f t="shared" si="48"/>
        <v>0</v>
      </c>
      <c r="H51" s="241">
        <f t="shared" si="48"/>
        <v>0</v>
      </c>
      <c r="I51" s="241">
        <f t="shared" si="48"/>
        <v>0</v>
      </c>
      <c r="J51" s="241">
        <f t="shared" si="48"/>
        <v>0</v>
      </c>
      <c r="K51" s="241">
        <f t="shared" si="48"/>
        <v>0</v>
      </c>
      <c r="L51" s="241">
        <f t="shared" si="48"/>
        <v>0</v>
      </c>
      <c r="M51" s="241">
        <f t="shared" si="48"/>
        <v>0</v>
      </c>
      <c r="N51" s="241">
        <f t="shared" si="48"/>
        <v>0</v>
      </c>
      <c r="O51" s="241">
        <f t="shared" si="48"/>
        <v>0</v>
      </c>
      <c r="P51" s="241">
        <f t="shared" si="48"/>
        <v>0</v>
      </c>
      <c r="Q51" s="241">
        <f t="shared" si="48"/>
        <v>0</v>
      </c>
      <c r="R51" s="241">
        <f t="shared" si="48"/>
        <v>0</v>
      </c>
      <c r="S51" s="241">
        <f t="shared" si="48"/>
        <v>0</v>
      </c>
      <c r="T51" s="241">
        <f>+T47-T50</f>
        <v>0</v>
      </c>
      <c r="U51" s="241">
        <f>+U47-U50</f>
        <v>0</v>
      </c>
      <c r="V51" s="241">
        <f t="shared" ref="V51:BW51" si="49">+V45-V50</f>
        <v>0</v>
      </c>
      <c r="W51" s="241">
        <f t="shared" si="49"/>
        <v>0</v>
      </c>
      <c r="X51" s="241">
        <f t="shared" si="49"/>
        <v>0</v>
      </c>
      <c r="Y51" s="241">
        <f t="shared" si="49"/>
        <v>0</v>
      </c>
      <c r="Z51" s="241">
        <f t="shared" si="49"/>
        <v>0</v>
      </c>
      <c r="AA51" s="241">
        <f t="shared" si="49"/>
        <v>0</v>
      </c>
      <c r="AB51" s="241">
        <f t="shared" si="49"/>
        <v>0</v>
      </c>
      <c r="AC51" s="241">
        <f t="shared" si="49"/>
        <v>0</v>
      </c>
      <c r="AD51" s="241">
        <f t="shared" si="49"/>
        <v>0</v>
      </c>
      <c r="AE51" s="241">
        <f t="shared" si="49"/>
        <v>0</v>
      </c>
      <c r="AF51" s="241">
        <f t="shared" si="49"/>
        <v>0</v>
      </c>
      <c r="AG51" s="241">
        <f t="shared" si="49"/>
        <v>0</v>
      </c>
      <c r="AH51" s="241">
        <f t="shared" si="49"/>
        <v>0</v>
      </c>
      <c r="AI51" s="241">
        <f t="shared" si="49"/>
        <v>0</v>
      </c>
      <c r="AJ51" s="241">
        <f t="shared" si="49"/>
        <v>0</v>
      </c>
      <c r="AK51" s="241">
        <f t="shared" si="49"/>
        <v>0</v>
      </c>
      <c r="AL51" s="241">
        <f t="shared" si="49"/>
        <v>0</v>
      </c>
      <c r="AM51" s="241">
        <f t="shared" si="49"/>
        <v>0</v>
      </c>
      <c r="AN51" s="241">
        <f t="shared" si="49"/>
        <v>0</v>
      </c>
      <c r="AO51" s="241">
        <f t="shared" si="49"/>
        <v>0</v>
      </c>
      <c r="AP51" s="241">
        <f t="shared" si="49"/>
        <v>0</v>
      </c>
      <c r="AQ51" s="241">
        <f t="shared" si="49"/>
        <v>0</v>
      </c>
      <c r="AR51" s="241">
        <f t="shared" si="49"/>
        <v>0</v>
      </c>
      <c r="AS51" s="241">
        <f t="shared" si="49"/>
        <v>0</v>
      </c>
      <c r="AT51" s="241">
        <f t="shared" si="49"/>
        <v>0</v>
      </c>
      <c r="AU51" s="241">
        <f t="shared" si="49"/>
        <v>0</v>
      </c>
      <c r="AV51" s="241">
        <f t="shared" si="49"/>
        <v>0</v>
      </c>
      <c r="AW51" s="241">
        <f t="shared" si="49"/>
        <v>0</v>
      </c>
      <c r="AX51" s="241">
        <f t="shared" si="49"/>
        <v>0</v>
      </c>
      <c r="AY51" s="241">
        <f t="shared" si="49"/>
        <v>0</v>
      </c>
      <c r="AZ51" s="241">
        <f t="shared" si="49"/>
        <v>0</v>
      </c>
      <c r="BA51" s="241">
        <f t="shared" si="49"/>
        <v>0</v>
      </c>
      <c r="BB51" s="241">
        <f t="shared" si="49"/>
        <v>0</v>
      </c>
      <c r="BC51" s="241">
        <f t="shared" si="49"/>
        <v>0</v>
      </c>
      <c r="BD51" s="241">
        <f t="shared" si="49"/>
        <v>0</v>
      </c>
      <c r="BE51" s="241">
        <f t="shared" si="49"/>
        <v>0</v>
      </c>
      <c r="BF51" s="241">
        <f t="shared" si="49"/>
        <v>0</v>
      </c>
      <c r="BG51" s="241">
        <f t="shared" si="49"/>
        <v>0</v>
      </c>
      <c r="BH51" s="241">
        <f t="shared" si="49"/>
        <v>0</v>
      </c>
      <c r="BI51" s="241">
        <f t="shared" si="49"/>
        <v>0</v>
      </c>
      <c r="BJ51" s="241">
        <f t="shared" ref="BJ51:BU51" si="50">+BJ45-BJ50</f>
        <v>0</v>
      </c>
      <c r="BK51" s="241">
        <f t="shared" si="50"/>
        <v>0</v>
      </c>
      <c r="BL51" s="241">
        <f t="shared" si="50"/>
        <v>0</v>
      </c>
      <c r="BM51" s="241">
        <f t="shared" si="50"/>
        <v>0</v>
      </c>
      <c r="BN51" s="241">
        <f t="shared" si="50"/>
        <v>0</v>
      </c>
      <c r="BO51" s="241">
        <f t="shared" si="50"/>
        <v>0</v>
      </c>
      <c r="BP51" s="241">
        <f t="shared" si="50"/>
        <v>0</v>
      </c>
      <c r="BQ51" s="241">
        <f t="shared" si="50"/>
        <v>0</v>
      </c>
      <c r="BR51" s="241">
        <f t="shared" si="50"/>
        <v>0</v>
      </c>
      <c r="BS51" s="241">
        <f t="shared" si="50"/>
        <v>0</v>
      </c>
      <c r="BT51" s="241">
        <f t="shared" si="50"/>
        <v>0</v>
      </c>
      <c r="BU51" s="241">
        <f t="shared" si="50"/>
        <v>0</v>
      </c>
      <c r="BV51" s="241">
        <f t="shared" si="49"/>
        <v>0</v>
      </c>
      <c r="BW51" s="241">
        <f t="shared" si="49"/>
        <v>0</v>
      </c>
    </row>
    <row r="53" spans="1:75" s="238" customFormat="1" x14ac:dyDescent="0.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row>
    <row r="54" spans="1:75" s="238" customFormat="1" x14ac:dyDescent="0.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row>
    <row r="55" spans="1:75" s="216" customFormat="1" ht="15" x14ac:dyDescent="0.2">
      <c r="A55" s="306" t="s">
        <v>196</v>
      </c>
      <c r="B55" s="214"/>
      <c r="C55" s="224"/>
      <c r="E55" s="224"/>
      <c r="G55" s="224"/>
      <c r="I55" s="224"/>
      <c r="K55" s="224"/>
      <c r="M55" s="224"/>
      <c r="O55" s="224"/>
      <c r="Q55" s="224"/>
      <c r="S55" s="224"/>
      <c r="U55" s="224"/>
      <c r="W55" s="224"/>
      <c r="Y55" s="224"/>
      <c r="AA55" s="224"/>
      <c r="AC55" s="224"/>
      <c r="AE55" s="224"/>
      <c r="AG55" s="224"/>
      <c r="AI55" s="22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row>
    <row r="57" spans="1:75" x14ac:dyDescent="0.2">
      <c r="A57" s="207" t="s">
        <v>105</v>
      </c>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row>
    <row r="58" spans="1:75" ht="24" x14ac:dyDescent="0.2">
      <c r="A58" s="249" t="s">
        <v>195</v>
      </c>
      <c r="B58" s="206">
        <f t="shared" ref="B58:AG58" si="51">IFERROR(B10/B14,0)</f>
        <v>0</v>
      </c>
      <c r="C58" s="206">
        <f t="shared" si="51"/>
        <v>3.2629512625412773</v>
      </c>
      <c r="D58" s="206">
        <f t="shared" si="51"/>
        <v>0.62056759490136737</v>
      </c>
      <c r="E58" s="206">
        <f t="shared" si="51"/>
        <v>0.75046283300938454</v>
      </c>
      <c r="F58" s="206">
        <f t="shared" si="51"/>
        <v>0</v>
      </c>
      <c r="G58" s="206">
        <f t="shared" si="51"/>
        <v>0.96621251666668506</v>
      </c>
      <c r="H58" s="206">
        <f t="shared" si="51"/>
        <v>3.8227399530063111</v>
      </c>
      <c r="I58" s="206">
        <f t="shared" si="51"/>
        <v>4.4990631862881489</v>
      </c>
      <c r="J58" s="206">
        <f t="shared" si="51"/>
        <v>2.4669855089468191</v>
      </c>
      <c r="K58" s="206">
        <f t="shared" si="51"/>
        <v>2.1388903275861519</v>
      </c>
      <c r="L58" s="206">
        <f t="shared" si="51"/>
        <v>2.0621552378034182E-2</v>
      </c>
      <c r="M58" s="206">
        <f t="shared" si="51"/>
        <v>2.3021250712432306</v>
      </c>
      <c r="N58" s="206">
        <f t="shared" si="51"/>
        <v>0.76447789734728888</v>
      </c>
      <c r="O58" s="206">
        <f t="shared" si="51"/>
        <v>1.123098718080916</v>
      </c>
      <c r="P58" s="206">
        <f t="shared" si="51"/>
        <v>1.1305288857962248</v>
      </c>
      <c r="Q58" s="206">
        <f t="shared" si="51"/>
        <v>1.0722795806817882</v>
      </c>
      <c r="R58" s="206">
        <f t="shared" si="51"/>
        <v>6.6452860588187095</v>
      </c>
      <c r="S58" s="206">
        <f t="shared" si="51"/>
        <v>0.41822647763517751</v>
      </c>
      <c r="T58" s="206">
        <f t="shared" si="51"/>
        <v>0.92504305660388952</v>
      </c>
      <c r="U58" s="206">
        <f t="shared" si="51"/>
        <v>1.0337963182877956</v>
      </c>
      <c r="V58" s="206">
        <f t="shared" si="51"/>
        <v>3.3974224172284178</v>
      </c>
      <c r="W58" s="206">
        <f t="shared" si="51"/>
        <v>2.371909688950653</v>
      </c>
      <c r="X58" s="206">
        <f t="shared" si="51"/>
        <v>8.2775450737570573</v>
      </c>
      <c r="Y58" s="206">
        <f t="shared" si="51"/>
        <v>9.0765475493067758</v>
      </c>
      <c r="Z58" s="206">
        <f t="shared" si="51"/>
        <v>0</v>
      </c>
      <c r="AA58" s="206">
        <f t="shared" si="51"/>
        <v>0.16151825961533897</v>
      </c>
      <c r="AB58" s="206">
        <f t="shared" si="51"/>
        <v>3.4659558639984631</v>
      </c>
      <c r="AC58" s="206">
        <f t="shared" si="51"/>
        <v>0.72339686612965326</v>
      </c>
      <c r="AD58" s="206">
        <f t="shared" si="51"/>
        <v>0.99838223383437974</v>
      </c>
      <c r="AE58" s="206">
        <f t="shared" si="51"/>
        <v>1.0289923592780426</v>
      </c>
      <c r="AF58" s="206">
        <f t="shared" si="51"/>
        <v>0</v>
      </c>
      <c r="AG58" s="206">
        <f t="shared" si="51"/>
        <v>1.1982137092435166</v>
      </c>
      <c r="AH58" s="206">
        <f t="shared" ref="AH58:BW58" si="52">IFERROR(AH10/AH14,0)</f>
        <v>0</v>
      </c>
      <c r="AI58" s="206">
        <f t="shared" si="52"/>
        <v>2.8021844586472846</v>
      </c>
      <c r="AJ58" s="206">
        <f t="shared" si="52"/>
        <v>0.64729324784189712</v>
      </c>
      <c r="AK58" s="206">
        <f t="shared" si="52"/>
        <v>1.7402938636750056</v>
      </c>
      <c r="AL58" s="206">
        <f t="shared" si="52"/>
        <v>3.5107671746054612</v>
      </c>
      <c r="AM58" s="206">
        <f t="shared" si="52"/>
        <v>1.3060623973961649</v>
      </c>
      <c r="AN58" s="206">
        <f t="shared" si="52"/>
        <v>0.17682949061133371</v>
      </c>
      <c r="AO58" s="206">
        <f t="shared" si="52"/>
        <v>0.2331119721209276</v>
      </c>
      <c r="AP58" s="206">
        <f t="shared" si="52"/>
        <v>3.0740717647549864</v>
      </c>
      <c r="AQ58" s="206">
        <f t="shared" si="52"/>
        <v>3.0923969006520928</v>
      </c>
      <c r="AR58" s="206">
        <f t="shared" si="52"/>
        <v>54.086607664325427</v>
      </c>
      <c r="AS58" s="206">
        <f t="shared" si="52"/>
        <v>60.384137817331862</v>
      </c>
      <c r="AT58" s="206">
        <f t="shared" si="52"/>
        <v>2.232617709772629</v>
      </c>
      <c r="AU58" s="206">
        <f t="shared" si="52"/>
        <v>0.84494299926238969</v>
      </c>
      <c r="AV58" s="206">
        <f t="shared" si="52"/>
        <v>6.0511078120931021</v>
      </c>
      <c r="AW58" s="206">
        <f t="shared" si="52"/>
        <v>17.726364468534335</v>
      </c>
      <c r="AX58" s="206">
        <f t="shared" si="52"/>
        <v>1.1915015023177926</v>
      </c>
      <c r="AY58" s="206">
        <f t="shared" si="52"/>
        <v>1.1363056557350248</v>
      </c>
      <c r="AZ58" s="206">
        <f t="shared" si="52"/>
        <v>4.724187296155856</v>
      </c>
      <c r="BA58" s="206">
        <f t="shared" si="52"/>
        <v>10.406106822201702</v>
      </c>
      <c r="BB58" s="206">
        <f t="shared" si="52"/>
        <v>0</v>
      </c>
      <c r="BC58" s="206">
        <f t="shared" si="52"/>
        <v>2.9416235716533046</v>
      </c>
      <c r="BD58" s="206">
        <f t="shared" si="52"/>
        <v>0.6853186682062854</v>
      </c>
      <c r="BE58" s="206">
        <f t="shared" si="52"/>
        <v>1.1735724200397613</v>
      </c>
      <c r="BF58" s="206">
        <f t="shared" si="52"/>
        <v>0.18785957172559373</v>
      </c>
      <c r="BG58" s="206">
        <f t="shared" si="52"/>
        <v>0.19477639718976009</v>
      </c>
      <c r="BH58" s="206">
        <f t="shared" si="52"/>
        <v>55.554499196572038</v>
      </c>
      <c r="BI58" s="206">
        <f t="shared" si="52"/>
        <v>0</v>
      </c>
      <c r="BJ58" s="206">
        <f t="shared" ref="BJ58:BU58" si="53">IFERROR(BJ10/BJ14,0)</f>
        <v>24.441356309060588</v>
      </c>
      <c r="BK58" s="206">
        <f t="shared" si="53"/>
        <v>4.9347710579778088</v>
      </c>
      <c r="BL58" s="206">
        <f t="shared" si="53"/>
        <v>3.872747301340183</v>
      </c>
      <c r="BM58" s="206">
        <f t="shared" si="53"/>
        <v>4.4213337687236152</v>
      </c>
      <c r="BN58" s="206">
        <f t="shared" si="53"/>
        <v>2.1009545606597189</v>
      </c>
      <c r="BO58" s="206">
        <f t="shared" si="53"/>
        <v>1.6609565228817642</v>
      </c>
      <c r="BP58" s="206">
        <f t="shared" si="53"/>
        <v>0.11989398043784374</v>
      </c>
      <c r="BQ58" s="206">
        <f t="shared" si="53"/>
        <v>0.66675836289862578</v>
      </c>
      <c r="BR58" s="206"/>
      <c r="BS58" s="206"/>
      <c r="BT58" s="206">
        <f t="shared" si="53"/>
        <v>0</v>
      </c>
      <c r="BU58" s="206">
        <f t="shared" si="53"/>
        <v>0</v>
      </c>
      <c r="BV58" s="206">
        <f t="shared" si="52"/>
        <v>2.4704160724673936</v>
      </c>
      <c r="BW58" s="206">
        <f t="shared" si="52"/>
        <v>2.8975060705613838</v>
      </c>
    </row>
    <row r="59" spans="1:75" x14ac:dyDescent="0.2">
      <c r="A59" s="207" t="s">
        <v>106</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row>
    <row r="60" spans="1:75" x14ac:dyDescent="0.2">
      <c r="A60" s="96" t="s">
        <v>74</v>
      </c>
      <c r="B60" s="87">
        <f t="shared" ref="B60:AG60" si="54">IFERROR(B14/B16,0)</f>
        <v>0</v>
      </c>
      <c r="C60" s="87">
        <f t="shared" si="54"/>
        <v>1</v>
      </c>
      <c r="D60" s="87">
        <f t="shared" si="54"/>
        <v>1</v>
      </c>
      <c r="E60" s="87">
        <f t="shared" si="54"/>
        <v>1</v>
      </c>
      <c r="F60" s="87">
        <f t="shared" si="54"/>
        <v>0</v>
      </c>
      <c r="G60" s="87">
        <f t="shared" si="54"/>
        <v>1</v>
      </c>
      <c r="H60" s="87">
        <f t="shared" si="54"/>
        <v>0.54578722649859002</v>
      </c>
      <c r="I60" s="87">
        <f t="shared" si="54"/>
        <v>0.60661625892510185</v>
      </c>
      <c r="J60" s="87">
        <f t="shared" si="54"/>
        <v>0.2842826591531018</v>
      </c>
      <c r="K60" s="87">
        <f t="shared" si="54"/>
        <v>0.38194946299989224</v>
      </c>
      <c r="L60" s="87">
        <f t="shared" si="54"/>
        <v>1</v>
      </c>
      <c r="M60" s="87">
        <f t="shared" si="54"/>
        <v>1</v>
      </c>
      <c r="N60" s="87">
        <f t="shared" si="54"/>
        <v>0.85512698441425938</v>
      </c>
      <c r="O60" s="87">
        <f t="shared" si="54"/>
        <v>1</v>
      </c>
      <c r="P60" s="87">
        <f t="shared" si="54"/>
        <v>0.59425334639039684</v>
      </c>
      <c r="Q60" s="87">
        <f t="shared" si="54"/>
        <v>0.60547825843662195</v>
      </c>
      <c r="R60" s="87">
        <f t="shared" si="54"/>
        <v>1</v>
      </c>
      <c r="S60" s="87">
        <f t="shared" si="54"/>
        <v>1</v>
      </c>
      <c r="T60" s="87">
        <f t="shared" si="54"/>
        <v>1</v>
      </c>
      <c r="U60" s="87">
        <f t="shared" si="54"/>
        <v>1</v>
      </c>
      <c r="V60" s="87">
        <f t="shared" si="54"/>
        <v>7.7424815449048473E-2</v>
      </c>
      <c r="W60" s="87">
        <f t="shared" si="54"/>
        <v>0.10983584123791594</v>
      </c>
      <c r="X60" s="87">
        <f t="shared" si="54"/>
        <v>1</v>
      </c>
      <c r="Y60" s="87">
        <f t="shared" si="54"/>
        <v>1</v>
      </c>
      <c r="Z60" s="87">
        <f t="shared" si="54"/>
        <v>0</v>
      </c>
      <c r="AA60" s="87">
        <f t="shared" si="54"/>
        <v>1</v>
      </c>
      <c r="AB60" s="87">
        <f t="shared" si="54"/>
        <v>1</v>
      </c>
      <c r="AC60" s="87">
        <f t="shared" si="54"/>
        <v>1</v>
      </c>
      <c r="AD60" s="87">
        <f t="shared" si="54"/>
        <v>1</v>
      </c>
      <c r="AE60" s="87">
        <f t="shared" si="54"/>
        <v>1</v>
      </c>
      <c r="AF60" s="87">
        <f t="shared" si="54"/>
        <v>0</v>
      </c>
      <c r="AG60" s="87">
        <f t="shared" si="54"/>
        <v>1</v>
      </c>
      <c r="AH60" s="87">
        <f t="shared" ref="AH60:BW60" si="55">IFERROR(AH14/AH16,0)</f>
        <v>0</v>
      </c>
      <c r="AI60" s="87">
        <f t="shared" si="55"/>
        <v>1</v>
      </c>
      <c r="AJ60" s="87">
        <f t="shared" si="55"/>
        <v>0.89356414054472921</v>
      </c>
      <c r="AK60" s="87">
        <f t="shared" si="55"/>
        <v>0.24465927498299278</v>
      </c>
      <c r="AL60" s="87">
        <f t="shared" si="55"/>
        <v>0.22513924206376065</v>
      </c>
      <c r="AM60" s="87">
        <f t="shared" si="55"/>
        <v>0.46851935950940404</v>
      </c>
      <c r="AN60" s="87">
        <f t="shared" si="55"/>
        <v>0.81509321766236476</v>
      </c>
      <c r="AO60" s="87">
        <f t="shared" si="55"/>
        <v>0.87178063420902308</v>
      </c>
      <c r="AP60" s="87">
        <f t="shared" si="55"/>
        <v>0.41550198865826066</v>
      </c>
      <c r="AQ60" s="87">
        <f t="shared" si="55"/>
        <v>0.40335959181596864</v>
      </c>
      <c r="AR60" s="87">
        <f t="shared" si="55"/>
        <v>4.2997287267360774E-2</v>
      </c>
      <c r="AS60" s="87">
        <f t="shared" si="55"/>
        <v>5.5692489752895667E-2</v>
      </c>
      <c r="AT60" s="87">
        <f t="shared" si="55"/>
        <v>0.30002735199054253</v>
      </c>
      <c r="AU60" s="87">
        <f t="shared" si="55"/>
        <v>0.68227819301708847</v>
      </c>
      <c r="AV60" s="87">
        <f t="shared" si="55"/>
        <v>3.1903323780850402E-2</v>
      </c>
      <c r="AW60" s="87">
        <f t="shared" si="55"/>
        <v>1.2449260365330459E-2</v>
      </c>
      <c r="AX60" s="87">
        <f t="shared" si="55"/>
        <v>1</v>
      </c>
      <c r="AY60" s="87">
        <f t="shared" si="55"/>
        <v>1</v>
      </c>
      <c r="AZ60" s="87">
        <f t="shared" si="55"/>
        <v>1</v>
      </c>
      <c r="BA60" s="87">
        <f t="shared" si="55"/>
        <v>1</v>
      </c>
      <c r="BB60" s="87">
        <f t="shared" si="55"/>
        <v>0</v>
      </c>
      <c r="BC60" s="87">
        <f t="shared" si="55"/>
        <v>1</v>
      </c>
      <c r="BD60" s="87">
        <f t="shared" si="55"/>
        <v>1</v>
      </c>
      <c r="BE60" s="87">
        <f t="shared" si="55"/>
        <v>0.46431153505178296</v>
      </c>
      <c r="BF60" s="87">
        <f t="shared" si="55"/>
        <v>0.69933555156750282</v>
      </c>
      <c r="BG60" s="87">
        <f t="shared" si="55"/>
        <v>0.72659933196413817</v>
      </c>
      <c r="BH60" s="87">
        <f t="shared" si="55"/>
        <v>0.20825722611860176</v>
      </c>
      <c r="BI60" s="87">
        <f t="shared" si="55"/>
        <v>0</v>
      </c>
      <c r="BJ60" s="87">
        <f t="shared" ref="BJ60:BU60" si="56">IFERROR(BJ14/BJ16,0)</f>
        <v>1</v>
      </c>
      <c r="BK60" s="87">
        <f t="shared" si="56"/>
        <v>1</v>
      </c>
      <c r="BL60" s="87">
        <f t="shared" si="56"/>
        <v>0.12295012617784296</v>
      </c>
      <c r="BM60" s="87">
        <f t="shared" si="56"/>
        <v>0.12423460404921047</v>
      </c>
      <c r="BN60" s="87">
        <f t="shared" si="56"/>
        <v>0.65863203829937489</v>
      </c>
      <c r="BO60" s="87">
        <f t="shared" si="56"/>
        <v>1</v>
      </c>
      <c r="BP60" s="87">
        <f t="shared" si="56"/>
        <v>1</v>
      </c>
      <c r="BQ60" s="87">
        <f t="shared" si="56"/>
        <v>1</v>
      </c>
      <c r="BR60" s="87"/>
      <c r="BS60" s="87"/>
      <c r="BT60" s="87">
        <f t="shared" si="56"/>
        <v>0</v>
      </c>
      <c r="BU60" s="87">
        <f t="shared" si="56"/>
        <v>0</v>
      </c>
      <c r="BV60" s="87">
        <f t="shared" si="55"/>
        <v>0.13133536985414629</v>
      </c>
      <c r="BW60" s="87">
        <f t="shared" si="55"/>
        <v>0.12450366216342892</v>
      </c>
    </row>
    <row r="61" spans="1:75" x14ac:dyDescent="0.2">
      <c r="A61" s="96" t="s">
        <v>75</v>
      </c>
      <c r="B61" s="86">
        <f t="shared" ref="B61:AG61" si="57">IFERROR(B16/B32,0)</f>
        <v>0</v>
      </c>
      <c r="C61" s="86">
        <f t="shared" si="57"/>
        <v>0.44190081180847329</v>
      </c>
      <c r="D61" s="86">
        <f t="shared" si="57"/>
        <v>5.0478268896716862</v>
      </c>
      <c r="E61" s="86">
        <f t="shared" si="57"/>
        <v>9.075617183258613</v>
      </c>
      <c r="F61" s="86">
        <f t="shared" si="57"/>
        <v>0</v>
      </c>
      <c r="G61" s="86">
        <f t="shared" si="57"/>
        <v>0.19967471142516732</v>
      </c>
      <c r="H61" s="86">
        <f t="shared" si="57"/>
        <v>0.2123718494293218</v>
      </c>
      <c r="I61" s="86">
        <f t="shared" si="57"/>
        <v>9.9257481035190206E-2</v>
      </c>
      <c r="J61" s="86">
        <f t="shared" si="57"/>
        <v>4.5413885576465756</v>
      </c>
      <c r="K61" s="86">
        <f t="shared" si="57"/>
        <v>3.6925950402969399</v>
      </c>
      <c r="L61" s="86">
        <f t="shared" si="57"/>
        <v>0.95457787947194683</v>
      </c>
      <c r="M61" s="86">
        <f t="shared" si="57"/>
        <v>4.091516385828662E-2</v>
      </c>
      <c r="N61" s="86">
        <f t="shared" si="57"/>
        <v>1.0408093899437341</v>
      </c>
      <c r="O61" s="86">
        <f t="shared" si="57"/>
        <v>0.86278503246045812</v>
      </c>
      <c r="P61" s="86">
        <f t="shared" si="57"/>
        <v>2.6748907809743749</v>
      </c>
      <c r="Q61" s="86">
        <f t="shared" si="57"/>
        <v>2.262599034509619</v>
      </c>
      <c r="R61" s="86">
        <f t="shared" si="57"/>
        <v>9.6369037940125371E-2</v>
      </c>
      <c r="S61" s="86">
        <f t="shared" si="57"/>
        <v>0.32096049312712172</v>
      </c>
      <c r="T61" s="86">
        <f t="shared" si="57"/>
        <v>7.3842806341308389</v>
      </c>
      <c r="U61" s="86">
        <f t="shared" si="57"/>
        <v>1.4847978932023043</v>
      </c>
      <c r="V61" s="86">
        <f t="shared" si="57"/>
        <v>2.1396572019100231</v>
      </c>
      <c r="W61" s="86">
        <f t="shared" si="57"/>
        <v>2.0766741200376377</v>
      </c>
      <c r="X61" s="86">
        <f t="shared" si="57"/>
        <v>5.2041473955569031E-2</v>
      </c>
      <c r="Y61" s="86">
        <f t="shared" si="57"/>
        <v>4.789965485310211E-2</v>
      </c>
      <c r="Z61" s="86">
        <f t="shared" si="57"/>
        <v>0</v>
      </c>
      <c r="AA61" s="86">
        <f t="shared" si="57"/>
        <v>-5.8381763396856297</v>
      </c>
      <c r="AB61" s="86">
        <f t="shared" si="57"/>
        <v>0.25954312641206456</v>
      </c>
      <c r="AC61" s="86">
        <f t="shared" si="57"/>
        <v>0.83147368818690737</v>
      </c>
      <c r="AD61" s="86">
        <f t="shared" si="57"/>
        <v>2.9417892183023726</v>
      </c>
      <c r="AE61" s="86">
        <f t="shared" si="57"/>
        <v>2.7030903673465203</v>
      </c>
      <c r="AF61" s="86">
        <f t="shared" si="57"/>
        <v>0</v>
      </c>
      <c r="AG61" s="86">
        <f t="shared" si="57"/>
        <v>1.5482501591067364E-2</v>
      </c>
      <c r="AH61" s="86">
        <f t="shared" ref="AH61:BW61" si="58">IFERROR(AH16/AH32,0)</f>
        <v>0</v>
      </c>
      <c r="AI61" s="86">
        <f t="shared" si="58"/>
        <v>8.7040310242506747E-2</v>
      </c>
      <c r="AJ61" s="86">
        <f t="shared" si="58"/>
        <v>1.7801942183405561</v>
      </c>
      <c r="AK61" s="86">
        <f t="shared" si="58"/>
        <v>2.0543713824312571</v>
      </c>
      <c r="AL61" s="86">
        <f t="shared" si="58"/>
        <v>5.8744355182335397</v>
      </c>
      <c r="AM61" s="86">
        <f t="shared" si="58"/>
        <v>-14.132230857381522</v>
      </c>
      <c r="AN61" s="86">
        <f t="shared" si="58"/>
        <v>4.5674176562224567</v>
      </c>
      <c r="AO61" s="86">
        <f t="shared" si="58"/>
        <v>4.754959791403671</v>
      </c>
      <c r="AP61" s="86">
        <f t="shared" si="58"/>
        <v>1.4428103235956569</v>
      </c>
      <c r="AQ61" s="86">
        <f t="shared" si="58"/>
        <v>1.2442308337217205</v>
      </c>
      <c r="AR61" s="86">
        <f t="shared" si="58"/>
        <v>0.51625459873802826</v>
      </c>
      <c r="AS61" s="86">
        <f t="shared" si="58"/>
        <v>0.28071271585638757</v>
      </c>
      <c r="AT61" s="86">
        <f t="shared" si="58"/>
        <v>1.9574921348976775</v>
      </c>
      <c r="AU61" s="86">
        <f t="shared" si="58"/>
        <v>3.5497706975575847</v>
      </c>
      <c r="AV61" s="86">
        <f t="shared" si="58"/>
        <v>7.2975596294751828</v>
      </c>
      <c r="AW61" s="86">
        <f t="shared" si="58"/>
        <v>5.0382509462644238</v>
      </c>
      <c r="AX61" s="86">
        <f t="shared" si="58"/>
        <v>0.32158384873134083</v>
      </c>
      <c r="AY61" s="86">
        <f t="shared" si="58"/>
        <v>0.75255348313872616</v>
      </c>
      <c r="AZ61" s="86">
        <f t="shared" si="58"/>
        <v>0.19756958345508821</v>
      </c>
      <c r="BA61" s="86">
        <f t="shared" si="58"/>
        <v>7.9915484747005355E-2</v>
      </c>
      <c r="BB61" s="86">
        <f t="shared" si="58"/>
        <v>0</v>
      </c>
      <c r="BC61" s="86">
        <f t="shared" si="58"/>
        <v>6.0034528382075292E-2</v>
      </c>
      <c r="BD61" s="86">
        <f t="shared" si="58"/>
        <v>0.73138781969604716</v>
      </c>
      <c r="BE61" s="86">
        <f t="shared" si="58"/>
        <v>0.121951143803116</v>
      </c>
      <c r="BF61" s="86">
        <f t="shared" si="58"/>
        <v>4.7867109895409072</v>
      </c>
      <c r="BG61" s="86">
        <f t="shared" si="58"/>
        <v>4.988629158110955</v>
      </c>
      <c r="BH61" s="86">
        <f t="shared" si="58"/>
        <v>8.8599181940932234E-2</v>
      </c>
      <c r="BI61" s="86">
        <f t="shared" si="58"/>
        <v>6.3580183723498829E-2</v>
      </c>
      <c r="BJ61" s="86">
        <f t="shared" ref="BJ61:BU61" si="59">IFERROR(BJ16/BJ32,0)</f>
        <v>1.081383256893142E-2</v>
      </c>
      <c r="BK61" s="86">
        <f t="shared" si="59"/>
        <v>0.14657577548411924</v>
      </c>
      <c r="BL61" s="86">
        <f t="shared" si="59"/>
        <v>0.74516870361710841</v>
      </c>
      <c r="BM61" s="86">
        <f t="shared" si="59"/>
        <v>0.74515364892985048</v>
      </c>
      <c r="BN61" s="86">
        <f t="shared" si="59"/>
        <v>1.0315559884619629</v>
      </c>
      <c r="BO61" s="86">
        <f t="shared" si="59"/>
        <v>0.79671552506846832</v>
      </c>
      <c r="BP61" s="86">
        <f t="shared" si="59"/>
        <v>13.592858828830762</v>
      </c>
      <c r="BQ61" s="86">
        <f t="shared" si="59"/>
        <v>0.47377943716015619</v>
      </c>
      <c r="BR61" s="86"/>
      <c r="BS61" s="86"/>
      <c r="BT61" s="86">
        <f t="shared" si="59"/>
        <v>0</v>
      </c>
      <c r="BU61" s="86">
        <f t="shared" si="59"/>
        <v>0</v>
      </c>
      <c r="BV61" s="86">
        <f t="shared" si="58"/>
        <v>3.8416269415735349</v>
      </c>
      <c r="BW61" s="86">
        <f t="shared" si="58"/>
        <v>2.7045271332389147</v>
      </c>
    </row>
    <row r="62" spans="1:75" x14ac:dyDescent="0.2">
      <c r="A62" s="97" t="s">
        <v>76</v>
      </c>
      <c r="B62" s="86">
        <f t="shared" ref="B62:AG62" si="60">IFERROR(B15/B32,0)</f>
        <v>0</v>
      </c>
      <c r="C62" s="86">
        <f t="shared" si="60"/>
        <v>0</v>
      </c>
      <c r="D62" s="86">
        <f t="shared" si="60"/>
        <v>0</v>
      </c>
      <c r="E62" s="86">
        <f t="shared" si="60"/>
        <v>0</v>
      </c>
      <c r="F62" s="86">
        <f t="shared" si="60"/>
        <v>0</v>
      </c>
      <c r="G62" s="86">
        <f t="shared" si="60"/>
        <v>0</v>
      </c>
      <c r="H62" s="86">
        <f t="shared" si="60"/>
        <v>9.6462006742916093E-2</v>
      </c>
      <c r="I62" s="86">
        <f t="shared" si="60"/>
        <v>3.9046279219293878E-2</v>
      </c>
      <c r="J62" s="86">
        <f t="shared" si="60"/>
        <v>3.2503505422313372</v>
      </c>
      <c r="K62" s="86">
        <f t="shared" si="60"/>
        <v>2.2822103475794582</v>
      </c>
      <c r="L62" s="86">
        <f t="shared" si="60"/>
        <v>0</v>
      </c>
      <c r="M62" s="86">
        <f t="shared" si="60"/>
        <v>0</v>
      </c>
      <c r="N62" s="86">
        <f t="shared" si="60"/>
        <v>0.15078519497110374</v>
      </c>
      <c r="O62" s="86">
        <f t="shared" si="60"/>
        <v>0</v>
      </c>
      <c r="P62" s="86">
        <f t="shared" si="60"/>
        <v>1.0853279831515308</v>
      </c>
      <c r="Q62" s="86">
        <f t="shared" si="60"/>
        <v>0.89264451155435265</v>
      </c>
      <c r="R62" s="86">
        <f t="shared" si="60"/>
        <v>0</v>
      </c>
      <c r="S62" s="86">
        <f t="shared" si="60"/>
        <v>0</v>
      </c>
      <c r="T62" s="86">
        <f t="shared" si="60"/>
        <v>0</v>
      </c>
      <c r="U62" s="86">
        <f t="shared" si="60"/>
        <v>0</v>
      </c>
      <c r="V62" s="86">
        <f t="shared" si="60"/>
        <v>1.9739946379279121</v>
      </c>
      <c r="W62" s="86">
        <f t="shared" si="60"/>
        <v>1.848580871086295</v>
      </c>
      <c r="X62" s="86">
        <f t="shared" si="60"/>
        <v>0</v>
      </c>
      <c r="Y62" s="86">
        <f t="shared" si="60"/>
        <v>0</v>
      </c>
      <c r="Z62" s="86">
        <f t="shared" si="60"/>
        <v>0</v>
      </c>
      <c r="AA62" s="86">
        <f t="shared" si="60"/>
        <v>0</v>
      </c>
      <c r="AB62" s="86">
        <f t="shared" si="60"/>
        <v>0</v>
      </c>
      <c r="AC62" s="86">
        <f t="shared" si="60"/>
        <v>0</v>
      </c>
      <c r="AD62" s="86">
        <f t="shared" si="60"/>
        <v>0</v>
      </c>
      <c r="AE62" s="86">
        <f t="shared" si="60"/>
        <v>0</v>
      </c>
      <c r="AF62" s="86">
        <f t="shared" si="60"/>
        <v>0</v>
      </c>
      <c r="AG62" s="86">
        <f t="shared" si="60"/>
        <v>0</v>
      </c>
      <c r="AH62" s="86">
        <f t="shared" ref="AH62:BW62" si="61">IFERROR(AH15/AH32,0)</f>
        <v>0</v>
      </c>
      <c r="AI62" s="86">
        <f t="shared" si="61"/>
        <v>0</v>
      </c>
      <c r="AJ62" s="86">
        <f t="shared" si="61"/>
        <v>0.18947650162638102</v>
      </c>
      <c r="AK62" s="86">
        <f t="shared" si="61"/>
        <v>1.5517503694598171</v>
      </c>
      <c r="AL62" s="86">
        <f t="shared" si="61"/>
        <v>4.5518695581060058</v>
      </c>
      <c r="AM62" s="86">
        <f t="shared" si="61"/>
        <v>-7.5110071076420954</v>
      </c>
      <c r="AN62" s="86">
        <f t="shared" si="61"/>
        <v>0.84454650240419815</v>
      </c>
      <c r="AO62" s="86">
        <f t="shared" si="61"/>
        <v>0.60967792881537441</v>
      </c>
      <c r="AP62" s="86">
        <f t="shared" si="61"/>
        <v>0.84331976488499283</v>
      </c>
      <c r="AQ62" s="86">
        <f t="shared" si="61"/>
        <v>0.74235839250688496</v>
      </c>
      <c r="AR62" s="86">
        <f t="shared" si="61"/>
        <v>0.49405705145299317</v>
      </c>
      <c r="AS62" s="86">
        <f t="shared" si="61"/>
        <v>0.26507912580504817</v>
      </c>
      <c r="AT62" s="86">
        <f t="shared" si="61"/>
        <v>1.3701909531220136</v>
      </c>
      <c r="AU62" s="86">
        <f t="shared" si="61"/>
        <v>1.1278395604029861</v>
      </c>
      <c r="AV62" s="86">
        <f t="shared" si="61"/>
        <v>7.0647432218059727</v>
      </c>
      <c r="AW62" s="86">
        <f t="shared" si="61"/>
        <v>4.9755284484485056</v>
      </c>
      <c r="AX62" s="86">
        <f t="shared" si="61"/>
        <v>0</v>
      </c>
      <c r="AY62" s="86">
        <f t="shared" si="61"/>
        <v>0</v>
      </c>
      <c r="AZ62" s="86">
        <f t="shared" si="61"/>
        <v>0</v>
      </c>
      <c r="BA62" s="86">
        <f t="shared" si="61"/>
        <v>0</v>
      </c>
      <c r="BB62" s="86">
        <f t="shared" si="61"/>
        <v>0</v>
      </c>
      <c r="BC62" s="86">
        <f t="shared" si="61"/>
        <v>0</v>
      </c>
      <c r="BD62" s="86">
        <f t="shared" si="61"/>
        <v>0</v>
      </c>
      <c r="BE62" s="86">
        <f t="shared" si="61"/>
        <v>6.5327821022570481E-2</v>
      </c>
      <c r="BF62" s="86">
        <f t="shared" si="61"/>
        <v>1.4391938194760896</v>
      </c>
      <c r="BG62" s="86">
        <f t="shared" si="61"/>
        <v>1.3638945444107142</v>
      </c>
      <c r="BH62" s="86">
        <f t="shared" si="61"/>
        <v>7.0147762073536374E-2</v>
      </c>
      <c r="BI62" s="86">
        <f t="shared" si="61"/>
        <v>6.3580183723498829E-2</v>
      </c>
      <c r="BJ62" s="86">
        <f t="shared" ref="BJ62:BU62" si="62">IFERROR(BJ15/BJ32,0)</f>
        <v>0</v>
      </c>
      <c r="BK62" s="86">
        <f t="shared" si="62"/>
        <v>0</v>
      </c>
      <c r="BL62" s="86">
        <f t="shared" si="62"/>
        <v>0.65355011748360525</v>
      </c>
      <c r="BM62" s="86">
        <f t="shared" si="62"/>
        <v>0.65257978039922615</v>
      </c>
      <c r="BN62" s="86">
        <f t="shared" si="62"/>
        <v>0.3521401651613339</v>
      </c>
      <c r="BO62" s="86">
        <f t="shared" si="62"/>
        <v>0</v>
      </c>
      <c r="BP62" s="86">
        <f t="shared" si="62"/>
        <v>0</v>
      </c>
      <c r="BQ62" s="86">
        <f t="shared" si="62"/>
        <v>0</v>
      </c>
      <c r="BR62" s="86"/>
      <c r="BS62" s="86"/>
      <c r="BT62" s="86">
        <f t="shared" si="62"/>
        <v>0</v>
      </c>
      <c r="BU62" s="86">
        <f t="shared" si="62"/>
        <v>0</v>
      </c>
      <c r="BV62" s="86">
        <f t="shared" si="61"/>
        <v>3.3370854463603217</v>
      </c>
      <c r="BW62" s="86">
        <f t="shared" si="61"/>
        <v>2.3678036007303098</v>
      </c>
    </row>
    <row r="63" spans="1:75" x14ac:dyDescent="0.2">
      <c r="A63" s="96" t="s">
        <v>77</v>
      </c>
      <c r="B63" s="86">
        <f t="shared" ref="B63:AG63" si="63">IFERROR(B16/B12,0)</f>
        <v>0</v>
      </c>
      <c r="C63" s="86">
        <f t="shared" si="63"/>
        <v>0.30647101949698513</v>
      </c>
      <c r="D63" s="86">
        <f t="shared" si="63"/>
        <v>0.8346513519248091</v>
      </c>
      <c r="E63" s="86">
        <f t="shared" si="63"/>
        <v>0.90075049678727626</v>
      </c>
      <c r="F63" s="86">
        <f t="shared" si="63"/>
        <v>0</v>
      </c>
      <c r="G63" s="86">
        <f t="shared" si="63"/>
        <v>0.16644071057225293</v>
      </c>
      <c r="H63" s="86">
        <f t="shared" si="63"/>
        <v>0.17517055475124058</v>
      </c>
      <c r="I63" s="86">
        <f t="shared" si="63"/>
        <v>9.0295024366554857E-2</v>
      </c>
      <c r="J63" s="86">
        <f t="shared" si="63"/>
        <v>0.81953981577052604</v>
      </c>
      <c r="K63" s="86">
        <f t="shared" si="63"/>
        <v>0.78689829584427096</v>
      </c>
      <c r="L63" s="86">
        <f t="shared" si="63"/>
        <v>0.48838058053222094</v>
      </c>
      <c r="M63" s="86">
        <f t="shared" si="63"/>
        <v>3.9306914990679238E-2</v>
      </c>
      <c r="N63" s="86">
        <f t="shared" si="63"/>
        <v>0.50999833451982968</v>
      </c>
      <c r="O63" s="86">
        <f t="shared" si="63"/>
        <v>0.46316940356818803</v>
      </c>
      <c r="P63" s="86">
        <f t="shared" si="63"/>
        <v>0.72788306929359792</v>
      </c>
      <c r="Q63" s="86">
        <f t="shared" si="63"/>
        <v>0.69349589409465884</v>
      </c>
      <c r="R63" s="86">
        <f t="shared" si="63"/>
        <v>8.7898357765725452E-2</v>
      </c>
      <c r="S63" s="86">
        <f t="shared" si="63"/>
        <v>0.24297508880625873</v>
      </c>
      <c r="T63" s="86">
        <f t="shared" si="63"/>
        <v>0.88072918314193982</v>
      </c>
      <c r="U63" s="86">
        <f t="shared" si="63"/>
        <v>0.59755278176317128</v>
      </c>
      <c r="V63" s="86">
        <f t="shared" si="63"/>
        <v>0.68149389067327293</v>
      </c>
      <c r="W63" s="86">
        <f t="shared" si="63"/>
        <v>0.67497370180116223</v>
      </c>
      <c r="X63" s="86">
        <f t="shared" si="63"/>
        <v>4.9467131518967956E-2</v>
      </c>
      <c r="Y63" s="86">
        <f t="shared" si="63"/>
        <v>4.5710154241645241E-2</v>
      </c>
      <c r="Z63" s="86">
        <f t="shared" si="63"/>
        <v>0</v>
      </c>
      <c r="AA63" s="86">
        <f t="shared" si="63"/>
        <v>1.2066894486249704</v>
      </c>
      <c r="AB63" s="86">
        <f t="shared" si="63"/>
        <v>0.20606132570577343</v>
      </c>
      <c r="AC63" s="86">
        <f t="shared" si="63"/>
        <v>0.45399160989860371</v>
      </c>
      <c r="AD63" s="86">
        <f t="shared" si="63"/>
        <v>0.74630809903359718</v>
      </c>
      <c r="AE63" s="86">
        <f t="shared" si="63"/>
        <v>0.72995528037395474</v>
      </c>
      <c r="AF63" s="86">
        <f t="shared" si="63"/>
        <v>0</v>
      </c>
      <c r="AG63" s="86">
        <f t="shared" si="63"/>
        <v>1.5246448429007135E-2</v>
      </c>
      <c r="AH63" s="86">
        <f t="shared" ref="AH63:BW63" si="64">IFERROR(AH16/AH12,0)</f>
        <v>0</v>
      </c>
      <c r="AI63" s="86">
        <f t="shared" si="64"/>
        <v>8.0070913122889623E-2</v>
      </c>
      <c r="AJ63" s="86">
        <f t="shared" si="64"/>
        <v>0.6403128985007096</v>
      </c>
      <c r="AK63" s="86">
        <f t="shared" si="64"/>
        <v>0.67260038980459302</v>
      </c>
      <c r="AL63" s="86">
        <f t="shared" si="64"/>
        <v>0.85453351081006856</v>
      </c>
      <c r="AM63" s="86">
        <f t="shared" si="64"/>
        <v>1.0761485242576214</v>
      </c>
      <c r="AN63" s="86">
        <f t="shared" si="64"/>
        <v>0.82038351319262992</v>
      </c>
      <c r="AO63" s="86">
        <f t="shared" si="64"/>
        <v>0.82623683983097063</v>
      </c>
      <c r="AP63" s="86">
        <f t="shared" si="64"/>
        <v>0.59063542906267663</v>
      </c>
      <c r="AQ63" s="86">
        <f t="shared" si="64"/>
        <v>0.55441303765457595</v>
      </c>
      <c r="AR63" s="86">
        <f t="shared" si="64"/>
        <v>0.34048015364154843</v>
      </c>
      <c r="AS63" s="86">
        <f t="shared" si="64"/>
        <v>0.21918476515529906</v>
      </c>
      <c r="AT63" s="86">
        <f t="shared" si="64"/>
        <v>0.66187568575407296</v>
      </c>
      <c r="AU63" s="86">
        <f t="shared" si="64"/>
        <v>0.78020870358657379</v>
      </c>
      <c r="AV63" s="86">
        <f t="shared" si="64"/>
        <v>0.87948263770859458</v>
      </c>
      <c r="AW63" s="86">
        <f t="shared" si="64"/>
        <v>0.83438912875612559</v>
      </c>
      <c r="AX63" s="86">
        <f t="shared" si="64"/>
        <v>0.24333215712347453</v>
      </c>
      <c r="AY63" s="86">
        <f t="shared" si="64"/>
        <v>0.42940400414539392</v>
      </c>
      <c r="AZ63" s="86">
        <f t="shared" si="64"/>
        <v>0.16497545210281933</v>
      </c>
      <c r="BA63" s="86">
        <f t="shared" si="64"/>
        <v>7.4001610196123238E-2</v>
      </c>
      <c r="BB63" s="86">
        <f t="shared" si="64"/>
        <v>0</v>
      </c>
      <c r="BC63" s="86">
        <f t="shared" si="64"/>
        <v>5.6634502721062921E-2</v>
      </c>
      <c r="BD63" s="86">
        <f t="shared" si="64"/>
        <v>0.42242865022837317</v>
      </c>
      <c r="BE63" s="86">
        <f t="shared" si="64"/>
        <v>0.10869559202884188</v>
      </c>
      <c r="BF63" s="86">
        <f t="shared" si="64"/>
        <v>0.82719026372538162</v>
      </c>
      <c r="BG63" s="86">
        <f t="shared" si="64"/>
        <v>0.83301687688481973</v>
      </c>
      <c r="BH63" s="86">
        <f t="shared" si="64"/>
        <v>8.1388249606217003E-2</v>
      </c>
      <c r="BI63" s="86">
        <f t="shared" si="64"/>
        <v>5.9779398578967788E-2</v>
      </c>
      <c r="BJ63" s="86">
        <f t="shared" ref="BJ63:BU63" si="65">IFERROR(BJ16/BJ12,0)</f>
        <v>1.0698144624167459E-2</v>
      </c>
      <c r="BK63" s="86">
        <f t="shared" si="65"/>
        <v>0.12783784431711936</v>
      </c>
      <c r="BL63" s="86">
        <f t="shared" si="65"/>
        <v>0.42698949509731704</v>
      </c>
      <c r="BM63" s="86">
        <f t="shared" si="65"/>
        <v>0.42698455198302326</v>
      </c>
      <c r="BN63" s="86">
        <f t="shared" si="65"/>
        <v>0.50776645798618947</v>
      </c>
      <c r="BO63" s="86">
        <f t="shared" si="65"/>
        <v>0.44342886447653285</v>
      </c>
      <c r="BP63" s="86">
        <f t="shared" si="65"/>
        <v>0.93147333146097977</v>
      </c>
      <c r="BQ63" s="86">
        <f t="shared" si="65"/>
        <v>0.32147241657346476</v>
      </c>
      <c r="BR63" s="86"/>
      <c r="BS63" s="86"/>
      <c r="BT63" s="86">
        <f t="shared" si="65"/>
        <v>0</v>
      </c>
      <c r="BU63" s="86">
        <f t="shared" si="65"/>
        <v>0</v>
      </c>
      <c r="BV63" s="86">
        <f t="shared" si="64"/>
        <v>0.79345785785077472</v>
      </c>
      <c r="BW63" s="86">
        <f t="shared" si="64"/>
        <v>0.7300600146702968</v>
      </c>
    </row>
    <row r="64" spans="1:75" x14ac:dyDescent="0.2">
      <c r="A64" s="207" t="s">
        <v>107</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row>
    <row r="65" spans="1:75" x14ac:dyDescent="0.2">
      <c r="A65" s="96" t="s">
        <v>79</v>
      </c>
      <c r="B65" s="86">
        <f t="shared" ref="B65:AG65" si="66">IFERROR(B12/B16,0)</f>
        <v>0</v>
      </c>
      <c r="C65" s="86">
        <f t="shared" si="66"/>
        <v>3.2629512625412773</v>
      </c>
      <c r="D65" s="86">
        <f t="shared" si="66"/>
        <v>1.19810505032296</v>
      </c>
      <c r="E65" s="86">
        <f t="shared" si="66"/>
        <v>1.1101853438512872</v>
      </c>
      <c r="F65" s="86">
        <f t="shared" si="66"/>
        <v>0</v>
      </c>
      <c r="G65" s="86">
        <f t="shared" si="66"/>
        <v>6.0081454625002566</v>
      </c>
      <c r="H65" s="86">
        <f t="shared" si="66"/>
        <v>5.708722001937474</v>
      </c>
      <c r="I65" s="86">
        <f t="shared" si="66"/>
        <v>11.074807355281013</v>
      </c>
      <c r="J65" s="86">
        <f t="shared" si="66"/>
        <v>1.2201969700029844</v>
      </c>
      <c r="K65" s="86">
        <f t="shared" si="66"/>
        <v>1.2708122577989449</v>
      </c>
      <c r="L65" s="86">
        <f t="shared" si="66"/>
        <v>2.0475834622872049</v>
      </c>
      <c r="M65" s="86">
        <f t="shared" si="66"/>
        <v>25.440816208474459</v>
      </c>
      <c r="N65" s="86">
        <f t="shared" si="66"/>
        <v>1.9607907169765828</v>
      </c>
      <c r="O65" s="86">
        <f t="shared" si="66"/>
        <v>2.1590372600092951</v>
      </c>
      <c r="P65" s="86">
        <f t="shared" si="66"/>
        <v>1.373847039704452</v>
      </c>
      <c r="Q65" s="86">
        <f t="shared" si="66"/>
        <v>1.441969604312473</v>
      </c>
      <c r="R65" s="86">
        <f t="shared" si="66"/>
        <v>11.376776829725184</v>
      </c>
      <c r="S65" s="86">
        <f t="shared" si="66"/>
        <v>4.115648253954836</v>
      </c>
      <c r="T65" s="86">
        <f t="shared" si="66"/>
        <v>1.1354228054900712</v>
      </c>
      <c r="U65" s="86">
        <f t="shared" si="66"/>
        <v>1.6734923349354116</v>
      </c>
      <c r="V65" s="86">
        <f t="shared" si="66"/>
        <v>1.4673645849004797</v>
      </c>
      <c r="W65" s="86">
        <f t="shared" si="66"/>
        <v>1.4815392026852416</v>
      </c>
      <c r="X65" s="86">
        <f t="shared" si="66"/>
        <v>20.215443452922965</v>
      </c>
      <c r="Y65" s="86">
        <f t="shared" si="66"/>
        <v>21.876977152899823</v>
      </c>
      <c r="Z65" s="86">
        <f t="shared" si="66"/>
        <v>0</v>
      </c>
      <c r="AA65" s="86">
        <f t="shared" si="66"/>
        <v>0.8287136355915814</v>
      </c>
      <c r="AB65" s="86">
        <f t="shared" si="66"/>
        <v>4.8529242281390506</v>
      </c>
      <c r="AC65" s="86">
        <f t="shared" si="66"/>
        <v>2.2026838782843234</v>
      </c>
      <c r="AD65" s="86">
        <f t="shared" si="66"/>
        <v>1.3399291811182423</v>
      </c>
      <c r="AE65" s="86">
        <f t="shared" si="66"/>
        <v>1.3699469363214989</v>
      </c>
      <c r="AF65" s="86">
        <f t="shared" si="66"/>
        <v>0</v>
      </c>
      <c r="AG65" s="86">
        <f t="shared" si="66"/>
        <v>65.589045518131925</v>
      </c>
      <c r="AH65" s="86">
        <f t="shared" ref="AH65:BW65" si="67">IFERROR(AH12/AH16,0)</f>
        <v>0</v>
      </c>
      <c r="AI65" s="86">
        <f t="shared" si="67"/>
        <v>12.488929637473223</v>
      </c>
      <c r="AJ65" s="86">
        <f t="shared" si="67"/>
        <v>1.5617364609419808</v>
      </c>
      <c r="AK65" s="86">
        <f t="shared" si="67"/>
        <v>1.4867669052206833</v>
      </c>
      <c r="AL65" s="86">
        <f t="shared" si="67"/>
        <v>1.1702291219124152</v>
      </c>
      <c r="AM65" s="86">
        <f t="shared" si="67"/>
        <v>0.92923976334014657</v>
      </c>
      <c r="AN65" s="86">
        <f t="shared" si="67"/>
        <v>1.2189420971033036</v>
      </c>
      <c r="AO65" s="86">
        <f t="shared" si="67"/>
        <v>1.2103067205337605</v>
      </c>
      <c r="AP65" s="86">
        <f t="shared" si="67"/>
        <v>1.6930917970616399</v>
      </c>
      <c r="AQ65" s="86">
        <f t="shared" si="67"/>
        <v>1.8037093864719767</v>
      </c>
      <c r="AR65" s="86">
        <f t="shared" si="67"/>
        <v>2.9370287498541914</v>
      </c>
      <c r="AS65" s="86">
        <f t="shared" si="67"/>
        <v>4.5623608889580884</v>
      </c>
      <c r="AT65" s="86">
        <f t="shared" si="67"/>
        <v>1.5108577358612336</v>
      </c>
      <c r="AU65" s="86">
        <f t="shared" si="67"/>
        <v>1.2817083370168245</v>
      </c>
      <c r="AV65" s="86">
        <f t="shared" si="67"/>
        <v>1.1370321108389376</v>
      </c>
      <c r="AW65" s="86">
        <f t="shared" si="67"/>
        <v>1.1984815783623171</v>
      </c>
      <c r="AX65" s="86">
        <f t="shared" si="67"/>
        <v>4.1096089058733325</v>
      </c>
      <c r="AY65" s="86">
        <f t="shared" si="67"/>
        <v>2.328809210780916</v>
      </c>
      <c r="AZ65" s="86">
        <f t="shared" si="67"/>
        <v>6.0615078622531051</v>
      </c>
      <c r="BA65" s="86">
        <f t="shared" si="67"/>
        <v>13.513219473870146</v>
      </c>
      <c r="BB65" s="86">
        <f t="shared" si="67"/>
        <v>0</v>
      </c>
      <c r="BC65" s="86">
        <f t="shared" si="67"/>
        <v>17.657080965735933</v>
      </c>
      <c r="BD65" s="86">
        <f t="shared" si="67"/>
        <v>2.3672636774503348</v>
      </c>
      <c r="BE65" s="86">
        <f t="shared" si="67"/>
        <v>9.2000050906816409</v>
      </c>
      <c r="BF65" s="86">
        <f t="shared" si="67"/>
        <v>1.208911714575003</v>
      </c>
      <c r="BG65" s="86">
        <f t="shared" si="67"/>
        <v>1.2004558704016135</v>
      </c>
      <c r="BH65" s="86">
        <f t="shared" si="67"/>
        <v>12.286785928415064</v>
      </c>
      <c r="BI65" s="86">
        <f t="shared" si="67"/>
        <v>16.728170971459562</v>
      </c>
      <c r="BJ65" s="86">
        <f t="shared" ref="BJ65:BU65" si="68">IFERROR(BJ12/BJ16,0)</f>
        <v>93.474152306837127</v>
      </c>
      <c r="BK65" s="86">
        <f t="shared" si="68"/>
        <v>7.8224097515236757</v>
      </c>
      <c r="BL65" s="86">
        <f t="shared" si="68"/>
        <v>2.3419779912198675</v>
      </c>
      <c r="BM65" s="86">
        <f t="shared" si="68"/>
        <v>2.3420051038281113</v>
      </c>
      <c r="BN65" s="86">
        <f t="shared" si="68"/>
        <v>1.9694093303563556</v>
      </c>
      <c r="BO65" s="86">
        <f t="shared" si="68"/>
        <v>2.2551531488156473</v>
      </c>
      <c r="BP65" s="86">
        <f t="shared" si="68"/>
        <v>1.0735680413217401</v>
      </c>
      <c r="BQ65" s="86">
        <f t="shared" si="68"/>
        <v>3.1106867912926335</v>
      </c>
      <c r="BR65" s="86"/>
      <c r="BS65" s="86"/>
      <c r="BT65" s="86">
        <f t="shared" si="68"/>
        <v>0</v>
      </c>
      <c r="BU65" s="86">
        <f t="shared" si="68"/>
        <v>0</v>
      </c>
      <c r="BV65" s="86">
        <f t="shared" si="67"/>
        <v>1.2603063793566585</v>
      </c>
      <c r="BW65" s="86">
        <f t="shared" si="67"/>
        <v>1.3697504039467372</v>
      </c>
    </row>
    <row r="66" spans="1:75" x14ac:dyDescent="0.2">
      <c r="A66" s="96" t="s">
        <v>80</v>
      </c>
      <c r="B66" s="86">
        <f t="shared" ref="B66:AG66" si="69">IFERROR(B12/B14,0)</f>
        <v>0</v>
      </c>
      <c r="C66" s="86">
        <f t="shared" si="69"/>
        <v>3.2629512625412773</v>
      </c>
      <c r="D66" s="86">
        <f t="shared" si="69"/>
        <v>1.19810505032296</v>
      </c>
      <c r="E66" s="86">
        <f t="shared" si="69"/>
        <v>1.1101853438512872</v>
      </c>
      <c r="F66" s="86">
        <f t="shared" si="69"/>
        <v>0</v>
      </c>
      <c r="G66" s="86">
        <f t="shared" si="69"/>
        <v>6.0081454625002566</v>
      </c>
      <c r="H66" s="86">
        <f t="shared" si="69"/>
        <v>10.459610860739376</v>
      </c>
      <c r="I66" s="86">
        <f t="shared" si="69"/>
        <v>18.256693902179773</v>
      </c>
      <c r="J66" s="86">
        <f t="shared" si="69"/>
        <v>4.2921962726746603</v>
      </c>
      <c r="K66" s="86">
        <f t="shared" si="69"/>
        <v>3.3271738303224248</v>
      </c>
      <c r="L66" s="86">
        <f t="shared" si="69"/>
        <v>2.0475834622872049</v>
      </c>
      <c r="M66" s="86">
        <f t="shared" si="69"/>
        <v>25.440816208474459</v>
      </c>
      <c r="N66" s="86">
        <f t="shared" si="69"/>
        <v>2.2929819228189547</v>
      </c>
      <c r="O66" s="86">
        <f t="shared" si="69"/>
        <v>2.1590372600092951</v>
      </c>
      <c r="P66" s="86">
        <f t="shared" si="69"/>
        <v>2.3118877631054997</v>
      </c>
      <c r="Q66" s="86">
        <f t="shared" si="69"/>
        <v>2.3815382042547948</v>
      </c>
      <c r="R66" s="86">
        <f t="shared" si="69"/>
        <v>11.376776829725184</v>
      </c>
      <c r="S66" s="86">
        <f t="shared" si="69"/>
        <v>4.115648253954836</v>
      </c>
      <c r="T66" s="86">
        <f t="shared" si="69"/>
        <v>1.1354228054900712</v>
      </c>
      <c r="U66" s="86">
        <f t="shared" si="69"/>
        <v>1.6734923349354116</v>
      </c>
      <c r="V66" s="86">
        <f t="shared" si="69"/>
        <v>18.952122473783866</v>
      </c>
      <c r="W66" s="86">
        <f t="shared" si="69"/>
        <v>13.488668052134937</v>
      </c>
      <c r="X66" s="86">
        <f t="shared" si="69"/>
        <v>20.215443452922965</v>
      </c>
      <c r="Y66" s="86">
        <f t="shared" si="69"/>
        <v>21.876977152899823</v>
      </c>
      <c r="Z66" s="86">
        <f t="shared" si="69"/>
        <v>0</v>
      </c>
      <c r="AA66" s="86">
        <f t="shared" si="69"/>
        <v>0.8287136355915814</v>
      </c>
      <c r="AB66" s="86">
        <f t="shared" si="69"/>
        <v>4.8529242281390506</v>
      </c>
      <c r="AC66" s="86">
        <f t="shared" si="69"/>
        <v>2.2026838782843234</v>
      </c>
      <c r="AD66" s="86">
        <f t="shared" si="69"/>
        <v>1.3399291811182423</v>
      </c>
      <c r="AE66" s="86">
        <f t="shared" si="69"/>
        <v>1.3699469363214989</v>
      </c>
      <c r="AF66" s="86">
        <f t="shared" si="69"/>
        <v>0</v>
      </c>
      <c r="AG66" s="86">
        <f t="shared" si="69"/>
        <v>65.589045518131925</v>
      </c>
      <c r="AH66" s="86">
        <f t="shared" ref="AH66:BW66" si="70">IFERROR(AH12/AH14,0)</f>
        <v>0</v>
      </c>
      <c r="AI66" s="86">
        <f t="shared" si="70"/>
        <v>12.488929637473223</v>
      </c>
      <c r="AJ66" s="86">
        <f t="shared" si="70"/>
        <v>1.7477608937954072</v>
      </c>
      <c r="AK66" s="86">
        <f t="shared" si="70"/>
        <v>6.0768875626073626</v>
      </c>
      <c r="AL66" s="86">
        <f t="shared" si="70"/>
        <v>5.197801641266075</v>
      </c>
      <c r="AM66" s="86">
        <f t="shared" si="70"/>
        <v>1.9833540375218901</v>
      </c>
      <c r="AN66" s="86">
        <f t="shared" si="70"/>
        <v>1.4954634276054359</v>
      </c>
      <c r="AO66" s="86">
        <f t="shared" si="70"/>
        <v>1.3883156760322923</v>
      </c>
      <c r="AP66" s="86">
        <f t="shared" si="70"/>
        <v>4.0748103337097694</v>
      </c>
      <c r="AQ66" s="86">
        <f t="shared" si="70"/>
        <v>4.4717156181943789</v>
      </c>
      <c r="AR66" s="86">
        <f t="shared" si="70"/>
        <v>68.307303472228327</v>
      </c>
      <c r="AS66" s="86">
        <f t="shared" si="70"/>
        <v>81.920576889290061</v>
      </c>
      <c r="AT66" s="86">
        <f t="shared" si="70"/>
        <v>5.0357333284361987</v>
      </c>
      <c r="AU66" s="86">
        <f t="shared" si="70"/>
        <v>1.8785714538947933</v>
      </c>
      <c r="AV66" s="86">
        <f t="shared" si="70"/>
        <v>35.639926380380089</v>
      </c>
      <c r="AW66" s="86">
        <f t="shared" si="70"/>
        <v>96.269299797113206</v>
      </c>
      <c r="AX66" s="86">
        <f t="shared" si="70"/>
        <v>4.1096089058733325</v>
      </c>
      <c r="AY66" s="86">
        <f t="shared" si="70"/>
        <v>2.328809210780916</v>
      </c>
      <c r="AZ66" s="86">
        <f t="shared" si="70"/>
        <v>6.0615078622531051</v>
      </c>
      <c r="BA66" s="86">
        <f t="shared" si="70"/>
        <v>13.513219473870146</v>
      </c>
      <c r="BB66" s="86">
        <f t="shared" si="70"/>
        <v>0</v>
      </c>
      <c r="BC66" s="86">
        <f t="shared" si="70"/>
        <v>17.657080965735933</v>
      </c>
      <c r="BD66" s="86">
        <f t="shared" si="70"/>
        <v>2.3672636774503348</v>
      </c>
      <c r="BE66" s="86">
        <f t="shared" si="70"/>
        <v>19.814293628642236</v>
      </c>
      <c r="BF66" s="86">
        <f t="shared" si="70"/>
        <v>1.7286575977230492</v>
      </c>
      <c r="BG66" s="86">
        <f t="shared" si="70"/>
        <v>1.6521565842299217</v>
      </c>
      <c r="BH66" s="86">
        <f t="shared" si="70"/>
        <v>58.998125334761653</v>
      </c>
      <c r="BI66" s="86">
        <f t="shared" si="70"/>
        <v>0</v>
      </c>
      <c r="BJ66" s="86">
        <f t="shared" ref="BJ66:BU66" si="71">IFERROR(BJ12/BJ14,0)</f>
        <v>93.474152306837127</v>
      </c>
      <c r="BK66" s="86">
        <f t="shared" si="71"/>
        <v>7.8224097515236757</v>
      </c>
      <c r="BL66" s="86">
        <f t="shared" si="71"/>
        <v>19.048195101746217</v>
      </c>
      <c r="BM66" s="86">
        <f t="shared" si="71"/>
        <v>18.851471550554638</v>
      </c>
      <c r="BN66" s="86">
        <f t="shared" si="71"/>
        <v>2.9901511251130168</v>
      </c>
      <c r="BO66" s="86">
        <f t="shared" si="71"/>
        <v>2.2551531488156473</v>
      </c>
      <c r="BP66" s="86">
        <f t="shared" si="71"/>
        <v>1.0735680413217401</v>
      </c>
      <c r="BQ66" s="86">
        <f t="shared" si="71"/>
        <v>3.1106867912926335</v>
      </c>
      <c r="BR66" s="86"/>
      <c r="BS66" s="86"/>
      <c r="BT66" s="86">
        <f t="shared" si="71"/>
        <v>0</v>
      </c>
      <c r="BU66" s="86">
        <f t="shared" si="71"/>
        <v>0</v>
      </c>
      <c r="BV66" s="86">
        <f t="shared" si="70"/>
        <v>9.5960926653367196</v>
      </c>
      <c r="BW66" s="86">
        <f t="shared" si="70"/>
        <v>11.00168766239778</v>
      </c>
    </row>
    <row r="67" spans="1:75" x14ac:dyDescent="0.2">
      <c r="A67" s="207" t="s">
        <v>108</v>
      </c>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row>
    <row r="68" spans="1:75" x14ac:dyDescent="0.2">
      <c r="A68" s="96" t="s">
        <v>82</v>
      </c>
      <c r="B68" s="86">
        <f t="shared" ref="B68:AG68" si="72">IFERROR(B11/B15,0)</f>
        <v>0</v>
      </c>
      <c r="C68" s="86">
        <f t="shared" si="72"/>
        <v>0</v>
      </c>
      <c r="D68" s="86">
        <f t="shared" si="72"/>
        <v>0</v>
      </c>
      <c r="E68" s="86">
        <f t="shared" si="72"/>
        <v>0</v>
      </c>
      <c r="F68" s="86">
        <f t="shared" si="72"/>
        <v>0</v>
      </c>
      <c r="G68" s="86">
        <f t="shared" si="72"/>
        <v>0</v>
      </c>
      <c r="H68" s="86">
        <f t="shared" si="72"/>
        <v>7.9749394483939247</v>
      </c>
      <c r="I68" s="86">
        <f t="shared" si="72"/>
        <v>21.214914611730968</v>
      </c>
      <c r="J68" s="86">
        <f t="shared" si="72"/>
        <v>0.72497303029354598</v>
      </c>
      <c r="K68" s="86">
        <f t="shared" si="72"/>
        <v>0.73434811328652128</v>
      </c>
      <c r="L68" s="86">
        <f t="shared" si="72"/>
        <v>0</v>
      </c>
      <c r="M68" s="86">
        <f t="shared" si="72"/>
        <v>0</v>
      </c>
      <c r="N68" s="86">
        <f t="shared" si="72"/>
        <v>9.0221428240587578</v>
      </c>
      <c r="O68" s="86">
        <f t="shared" si="72"/>
        <v>0</v>
      </c>
      <c r="P68" s="86">
        <f t="shared" si="72"/>
        <v>1.7302088874514954</v>
      </c>
      <c r="Q68" s="86">
        <f t="shared" si="72"/>
        <v>2.0093382638501933</v>
      </c>
      <c r="R68" s="86">
        <f t="shared" si="72"/>
        <v>0</v>
      </c>
      <c r="S68" s="86">
        <f t="shared" si="72"/>
        <v>0</v>
      </c>
      <c r="T68" s="86">
        <f t="shared" si="72"/>
        <v>0</v>
      </c>
      <c r="U68" s="86">
        <f t="shared" si="72"/>
        <v>0</v>
      </c>
      <c r="V68" s="86">
        <f t="shared" si="72"/>
        <v>1.3053893074636431</v>
      </c>
      <c r="W68" s="86">
        <f t="shared" si="72"/>
        <v>1.3716779030476864</v>
      </c>
      <c r="X68" s="86">
        <f t="shared" si="72"/>
        <v>0</v>
      </c>
      <c r="Y68" s="86">
        <f t="shared" si="72"/>
        <v>0</v>
      </c>
      <c r="Z68" s="86">
        <f t="shared" si="72"/>
        <v>0</v>
      </c>
      <c r="AA68" s="86">
        <f t="shared" si="72"/>
        <v>0</v>
      </c>
      <c r="AB68" s="86">
        <f t="shared" si="72"/>
        <v>0</v>
      </c>
      <c r="AC68" s="86">
        <f t="shared" si="72"/>
        <v>0</v>
      </c>
      <c r="AD68" s="86">
        <f t="shared" si="72"/>
        <v>0</v>
      </c>
      <c r="AE68" s="86">
        <f t="shared" si="72"/>
        <v>0</v>
      </c>
      <c r="AF68" s="86">
        <f t="shared" si="72"/>
        <v>0</v>
      </c>
      <c r="AG68" s="86">
        <f t="shared" si="72"/>
        <v>0</v>
      </c>
      <c r="AH68" s="86">
        <f t="shared" ref="AH68:BW68" si="73">IFERROR(AH11/AH15,0)</f>
        <v>0</v>
      </c>
      <c r="AI68" s="86">
        <f t="shared" si="73"/>
        <v>0</v>
      </c>
      <c r="AJ68" s="86">
        <f t="shared" si="73"/>
        <v>9.2387888</v>
      </c>
      <c r="AK68" s="86">
        <f t="shared" si="73"/>
        <v>1.4046480417863292</v>
      </c>
      <c r="AL68" s="86">
        <f t="shared" si="73"/>
        <v>0.49017537314835252</v>
      </c>
      <c r="AM68" s="86">
        <f t="shared" si="73"/>
        <v>0.59705701630047125</v>
      </c>
      <c r="AN68" s="86">
        <f t="shared" si="73"/>
        <v>5.8127104102689886</v>
      </c>
      <c r="AO68" s="86">
        <f t="shared" si="73"/>
        <v>7.8543846432543587</v>
      </c>
      <c r="AP68" s="86">
        <f t="shared" si="73"/>
        <v>0.71139483361667533</v>
      </c>
      <c r="AQ68" s="86">
        <f t="shared" si="73"/>
        <v>0.93249036984497113</v>
      </c>
      <c r="AR68" s="86">
        <f t="shared" si="73"/>
        <v>0.63892331198122421</v>
      </c>
      <c r="AS68" s="86">
        <f t="shared" si="73"/>
        <v>1.270156066020308</v>
      </c>
      <c r="AT68" s="86">
        <f t="shared" si="73"/>
        <v>1.2014917422596192</v>
      </c>
      <c r="AU68" s="86">
        <f t="shared" si="73"/>
        <v>2.2196215015092498</v>
      </c>
      <c r="AV68" s="86">
        <f t="shared" si="73"/>
        <v>0.97509027999514331</v>
      </c>
      <c r="AW68" s="86">
        <f t="shared" si="73"/>
        <v>0.99012781067281086</v>
      </c>
      <c r="AX68" s="86">
        <f t="shared" si="73"/>
        <v>0</v>
      </c>
      <c r="AY68" s="86">
        <f t="shared" si="73"/>
        <v>0</v>
      </c>
      <c r="AZ68" s="86">
        <f t="shared" si="73"/>
        <v>0</v>
      </c>
      <c r="BA68" s="86">
        <f t="shared" si="73"/>
        <v>0</v>
      </c>
      <c r="BB68" s="86">
        <f t="shared" si="73"/>
        <v>0</v>
      </c>
      <c r="BC68" s="86">
        <f t="shared" si="73"/>
        <v>0</v>
      </c>
      <c r="BD68" s="86">
        <f t="shared" si="73"/>
        <v>0</v>
      </c>
      <c r="BE68" s="86">
        <f t="shared" si="73"/>
        <v>16.156968919753012</v>
      </c>
      <c r="BF68" s="86">
        <f t="shared" si="73"/>
        <v>3.5838451901537991</v>
      </c>
      <c r="BG68" s="86">
        <f t="shared" si="73"/>
        <v>3.8731853800088469</v>
      </c>
      <c r="BH68" s="86">
        <f t="shared" si="73"/>
        <v>0.90579927090854662</v>
      </c>
      <c r="BI68" s="86">
        <f t="shared" si="73"/>
        <v>0.66380245407091043</v>
      </c>
      <c r="BJ68" s="86">
        <f t="shared" ref="BJ68:BU68" si="74">IFERROR(BJ11/BJ15,0)</f>
        <v>0</v>
      </c>
      <c r="BK68" s="86">
        <f t="shared" si="74"/>
        <v>0</v>
      </c>
      <c r="BL68" s="86">
        <f t="shared" si="74"/>
        <v>2.1273855427787587</v>
      </c>
      <c r="BM68" s="86">
        <f t="shared" si="74"/>
        <v>2.0470350415650187</v>
      </c>
      <c r="BN68" s="86">
        <f t="shared" si="74"/>
        <v>1.7156072373548843</v>
      </c>
      <c r="BO68" s="86">
        <f t="shared" si="74"/>
        <v>0</v>
      </c>
      <c r="BP68" s="86">
        <f t="shared" si="74"/>
        <v>0</v>
      </c>
      <c r="BQ68" s="86">
        <f t="shared" si="74"/>
        <v>0</v>
      </c>
      <c r="BR68" s="86"/>
      <c r="BS68" s="86"/>
      <c r="BT68" s="86">
        <f t="shared" si="74"/>
        <v>0</v>
      </c>
      <c r="BU68" s="86">
        <f t="shared" si="74"/>
        <v>0</v>
      </c>
      <c r="BV68" s="86">
        <f t="shared" si="73"/>
        <v>1.077347158279474</v>
      </c>
      <c r="BW68" s="86">
        <f t="shared" si="73"/>
        <v>1.1524894433189832</v>
      </c>
    </row>
    <row r="69" spans="1:75" x14ac:dyDescent="0.2">
      <c r="A69" s="96" t="s">
        <v>83</v>
      </c>
      <c r="B69" s="86">
        <f t="shared" ref="B69:AG69" si="75">IFERROR(B12/B16,0)</f>
        <v>0</v>
      </c>
      <c r="C69" s="86">
        <f t="shared" si="75"/>
        <v>3.2629512625412773</v>
      </c>
      <c r="D69" s="86">
        <f t="shared" si="75"/>
        <v>1.19810505032296</v>
      </c>
      <c r="E69" s="86">
        <f t="shared" si="75"/>
        <v>1.1101853438512872</v>
      </c>
      <c r="F69" s="86">
        <f t="shared" si="75"/>
        <v>0</v>
      </c>
      <c r="G69" s="86">
        <f t="shared" si="75"/>
        <v>6.0081454625002566</v>
      </c>
      <c r="H69" s="86">
        <f t="shared" si="75"/>
        <v>5.708722001937474</v>
      </c>
      <c r="I69" s="86">
        <f t="shared" si="75"/>
        <v>11.074807355281013</v>
      </c>
      <c r="J69" s="86">
        <f t="shared" si="75"/>
        <v>1.2201969700029844</v>
      </c>
      <c r="K69" s="86">
        <f t="shared" si="75"/>
        <v>1.2708122577989449</v>
      </c>
      <c r="L69" s="86">
        <f t="shared" si="75"/>
        <v>2.0475834622872049</v>
      </c>
      <c r="M69" s="86">
        <f t="shared" si="75"/>
        <v>25.440816208474459</v>
      </c>
      <c r="N69" s="86">
        <f t="shared" si="75"/>
        <v>1.9607907169765828</v>
      </c>
      <c r="O69" s="86">
        <f t="shared" si="75"/>
        <v>2.1590372600092951</v>
      </c>
      <c r="P69" s="86">
        <f t="shared" si="75"/>
        <v>1.373847039704452</v>
      </c>
      <c r="Q69" s="86">
        <f t="shared" si="75"/>
        <v>1.441969604312473</v>
      </c>
      <c r="R69" s="86">
        <f t="shared" si="75"/>
        <v>11.376776829725184</v>
      </c>
      <c r="S69" s="86">
        <f t="shared" si="75"/>
        <v>4.115648253954836</v>
      </c>
      <c r="T69" s="86">
        <f t="shared" si="75"/>
        <v>1.1354228054900712</v>
      </c>
      <c r="U69" s="86">
        <f t="shared" si="75"/>
        <v>1.6734923349354116</v>
      </c>
      <c r="V69" s="86">
        <f t="shared" si="75"/>
        <v>1.4673645849004797</v>
      </c>
      <c r="W69" s="86">
        <f t="shared" si="75"/>
        <v>1.4815392026852416</v>
      </c>
      <c r="X69" s="86">
        <f t="shared" si="75"/>
        <v>20.215443452922965</v>
      </c>
      <c r="Y69" s="86">
        <f t="shared" si="75"/>
        <v>21.876977152899823</v>
      </c>
      <c r="Z69" s="86">
        <f t="shared" si="75"/>
        <v>0</v>
      </c>
      <c r="AA69" s="86">
        <f t="shared" si="75"/>
        <v>0.8287136355915814</v>
      </c>
      <c r="AB69" s="86">
        <f t="shared" si="75"/>
        <v>4.8529242281390506</v>
      </c>
      <c r="AC69" s="86">
        <f t="shared" si="75"/>
        <v>2.2026838782843234</v>
      </c>
      <c r="AD69" s="86">
        <f t="shared" si="75"/>
        <v>1.3399291811182423</v>
      </c>
      <c r="AE69" s="86">
        <f t="shared" si="75"/>
        <v>1.3699469363214989</v>
      </c>
      <c r="AF69" s="86">
        <f t="shared" si="75"/>
        <v>0</v>
      </c>
      <c r="AG69" s="86">
        <f t="shared" si="75"/>
        <v>65.589045518131925</v>
      </c>
      <c r="AH69" s="86">
        <f t="shared" ref="AH69:BW69" si="76">IFERROR(AH12/AH16,0)</f>
        <v>0</v>
      </c>
      <c r="AI69" s="86">
        <f t="shared" si="76"/>
        <v>12.488929637473223</v>
      </c>
      <c r="AJ69" s="86">
        <f t="shared" si="76"/>
        <v>1.5617364609419808</v>
      </c>
      <c r="AK69" s="86">
        <f t="shared" si="76"/>
        <v>1.4867669052206833</v>
      </c>
      <c r="AL69" s="86">
        <f t="shared" si="76"/>
        <v>1.1702291219124152</v>
      </c>
      <c r="AM69" s="86">
        <f t="shared" si="76"/>
        <v>0.92923976334014657</v>
      </c>
      <c r="AN69" s="86">
        <f t="shared" si="76"/>
        <v>1.2189420971033036</v>
      </c>
      <c r="AO69" s="86">
        <f t="shared" si="76"/>
        <v>1.2103067205337605</v>
      </c>
      <c r="AP69" s="86">
        <f t="shared" si="76"/>
        <v>1.6930917970616399</v>
      </c>
      <c r="AQ69" s="86">
        <f t="shared" si="76"/>
        <v>1.8037093864719767</v>
      </c>
      <c r="AR69" s="86">
        <f t="shared" si="76"/>
        <v>2.9370287498541914</v>
      </c>
      <c r="AS69" s="86">
        <f t="shared" si="76"/>
        <v>4.5623608889580884</v>
      </c>
      <c r="AT69" s="86">
        <f t="shared" si="76"/>
        <v>1.5108577358612336</v>
      </c>
      <c r="AU69" s="86">
        <f t="shared" si="76"/>
        <v>1.2817083370168245</v>
      </c>
      <c r="AV69" s="86">
        <f t="shared" si="76"/>
        <v>1.1370321108389376</v>
      </c>
      <c r="AW69" s="86">
        <f t="shared" si="76"/>
        <v>1.1984815783623171</v>
      </c>
      <c r="AX69" s="86">
        <f t="shared" si="76"/>
        <v>4.1096089058733325</v>
      </c>
      <c r="AY69" s="86">
        <f t="shared" si="76"/>
        <v>2.328809210780916</v>
      </c>
      <c r="AZ69" s="86">
        <f t="shared" si="76"/>
        <v>6.0615078622531051</v>
      </c>
      <c r="BA69" s="86">
        <f t="shared" si="76"/>
        <v>13.513219473870146</v>
      </c>
      <c r="BB69" s="86">
        <f t="shared" si="76"/>
        <v>0</v>
      </c>
      <c r="BC69" s="86">
        <f t="shared" si="76"/>
        <v>17.657080965735933</v>
      </c>
      <c r="BD69" s="86">
        <f t="shared" si="76"/>
        <v>2.3672636774503348</v>
      </c>
      <c r="BE69" s="86">
        <f t="shared" si="76"/>
        <v>9.2000050906816409</v>
      </c>
      <c r="BF69" s="86">
        <f t="shared" si="76"/>
        <v>1.208911714575003</v>
      </c>
      <c r="BG69" s="86">
        <f t="shared" si="76"/>
        <v>1.2004558704016135</v>
      </c>
      <c r="BH69" s="86">
        <f t="shared" si="76"/>
        <v>12.286785928415064</v>
      </c>
      <c r="BI69" s="86">
        <f t="shared" si="76"/>
        <v>16.728170971459562</v>
      </c>
      <c r="BJ69" s="86">
        <f t="shared" si="76"/>
        <v>93.474152306837127</v>
      </c>
      <c r="BK69" s="86">
        <f t="shared" si="76"/>
        <v>7.8224097515236757</v>
      </c>
      <c r="BL69" s="86">
        <f t="shared" si="76"/>
        <v>2.3419779912198675</v>
      </c>
      <c r="BM69" s="86">
        <f t="shared" si="76"/>
        <v>2.3420051038281113</v>
      </c>
      <c r="BN69" s="86">
        <f t="shared" si="76"/>
        <v>1.9694093303563556</v>
      </c>
      <c r="BO69" s="86">
        <f t="shared" si="76"/>
        <v>2.2551531488156473</v>
      </c>
      <c r="BP69" s="86">
        <f t="shared" si="76"/>
        <v>1.0735680413217401</v>
      </c>
      <c r="BQ69" s="86">
        <f t="shared" si="76"/>
        <v>3.1106867912926335</v>
      </c>
      <c r="BR69" s="86"/>
      <c r="BS69" s="86"/>
      <c r="BT69" s="86">
        <f t="shared" si="76"/>
        <v>0</v>
      </c>
      <c r="BU69" s="86">
        <f t="shared" si="76"/>
        <v>0</v>
      </c>
      <c r="BV69" s="86">
        <f t="shared" si="76"/>
        <v>1.2603063793566585</v>
      </c>
      <c r="BW69" s="86">
        <f t="shared" si="76"/>
        <v>1.3697504039467372</v>
      </c>
    </row>
    <row r="70" spans="1:75" x14ac:dyDescent="0.2">
      <c r="A70" s="207" t="s">
        <v>109</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08"/>
      <c r="BS70" s="208"/>
      <c r="BT70" s="208"/>
      <c r="BU70" s="208"/>
      <c r="BV70" s="208"/>
      <c r="BW70" s="208"/>
    </row>
    <row r="71" spans="1:75" x14ac:dyDescent="0.2">
      <c r="A71" s="96" t="s">
        <v>85</v>
      </c>
      <c r="B71" s="86">
        <f t="shared" ref="B71:AG71" si="77">IFERROR(B32/B12,0)</f>
        <v>0</v>
      </c>
      <c r="C71" s="86">
        <f t="shared" si="77"/>
        <v>0.69352898050301492</v>
      </c>
      <c r="D71" s="86">
        <f t="shared" si="77"/>
        <v>0.1653486480751909</v>
      </c>
      <c r="E71" s="86">
        <f t="shared" si="77"/>
        <v>9.9249503212723716E-2</v>
      </c>
      <c r="F71" s="86">
        <f t="shared" si="77"/>
        <v>0</v>
      </c>
      <c r="G71" s="86">
        <f t="shared" si="77"/>
        <v>0.83355928942774704</v>
      </c>
      <c r="H71" s="86">
        <f t="shared" si="77"/>
        <v>0.82482944524875945</v>
      </c>
      <c r="I71" s="86">
        <f t="shared" si="77"/>
        <v>0.9097049756334451</v>
      </c>
      <c r="J71" s="86">
        <f t="shared" si="77"/>
        <v>0.18046018422947396</v>
      </c>
      <c r="K71" s="86">
        <f t="shared" si="77"/>
        <v>0.21310170415572907</v>
      </c>
      <c r="L71" s="86">
        <f t="shared" si="77"/>
        <v>0.511619419467779</v>
      </c>
      <c r="M71" s="86">
        <f t="shared" si="77"/>
        <v>0.96069308500932071</v>
      </c>
      <c r="N71" s="86">
        <f t="shared" si="77"/>
        <v>0.49000166548017032</v>
      </c>
      <c r="O71" s="86">
        <f t="shared" si="77"/>
        <v>0.53683059643181197</v>
      </c>
      <c r="P71" s="86">
        <f t="shared" si="77"/>
        <v>0.27211693070640214</v>
      </c>
      <c r="Q71" s="86">
        <f t="shared" si="77"/>
        <v>0.30650410590534111</v>
      </c>
      <c r="R71" s="86">
        <f t="shared" si="77"/>
        <v>0.91210164223427459</v>
      </c>
      <c r="S71" s="86">
        <f t="shared" si="77"/>
        <v>0.75702491119374127</v>
      </c>
      <c r="T71" s="86">
        <f t="shared" si="77"/>
        <v>0.11927081685806019</v>
      </c>
      <c r="U71" s="86">
        <f t="shared" si="77"/>
        <v>0.40244721823682872</v>
      </c>
      <c r="V71" s="86">
        <f t="shared" si="77"/>
        <v>0.31850610932672713</v>
      </c>
      <c r="W71" s="86">
        <f t="shared" si="77"/>
        <v>0.32502629819883777</v>
      </c>
      <c r="X71" s="86">
        <f t="shared" si="77"/>
        <v>0.95053286848103202</v>
      </c>
      <c r="Y71" s="86">
        <f t="shared" si="77"/>
        <v>0.95428984575835474</v>
      </c>
      <c r="Z71" s="86">
        <f t="shared" si="77"/>
        <v>0</v>
      </c>
      <c r="AA71" s="86">
        <f t="shared" si="77"/>
        <v>-0.20668944862497032</v>
      </c>
      <c r="AB71" s="86">
        <f t="shared" si="77"/>
        <v>0.7939386742942266</v>
      </c>
      <c r="AC71" s="86">
        <f t="shared" si="77"/>
        <v>0.54600839010139635</v>
      </c>
      <c r="AD71" s="86">
        <f t="shared" si="77"/>
        <v>0.25369190096640287</v>
      </c>
      <c r="AE71" s="86">
        <f t="shared" si="77"/>
        <v>0.27004471962604526</v>
      </c>
      <c r="AF71" s="86">
        <f t="shared" si="77"/>
        <v>0</v>
      </c>
      <c r="AG71" s="86">
        <f t="shared" si="77"/>
        <v>0.98475355157099287</v>
      </c>
      <c r="AH71" s="86">
        <f t="shared" ref="AH71:BW71" si="78">IFERROR(AH32/AH12,0)</f>
        <v>0</v>
      </c>
      <c r="AI71" s="86">
        <f t="shared" si="78"/>
        <v>0.91992908687711039</v>
      </c>
      <c r="AJ71" s="86">
        <f t="shared" si="78"/>
        <v>0.35968710149929045</v>
      </c>
      <c r="AK71" s="86">
        <f t="shared" si="78"/>
        <v>0.32739961019540703</v>
      </c>
      <c r="AL71" s="86">
        <f t="shared" si="78"/>
        <v>0.14546648918993144</v>
      </c>
      <c r="AM71" s="86">
        <f t="shared" si="78"/>
        <v>-7.6148524257621308E-2</v>
      </c>
      <c r="AN71" s="86">
        <f t="shared" si="78"/>
        <v>0.17961648680737005</v>
      </c>
      <c r="AO71" s="86">
        <f t="shared" si="78"/>
        <v>0.17376316016902937</v>
      </c>
      <c r="AP71" s="86">
        <f t="shared" si="78"/>
        <v>0.40936457093732331</v>
      </c>
      <c r="AQ71" s="86">
        <f t="shared" si="78"/>
        <v>0.44558696234542411</v>
      </c>
      <c r="AR71" s="86">
        <f t="shared" si="78"/>
        <v>0.65951984635845151</v>
      </c>
      <c r="AS71" s="86">
        <f t="shared" si="78"/>
        <v>0.78081523484470094</v>
      </c>
      <c r="AT71" s="86">
        <f t="shared" si="78"/>
        <v>0.33812431424592704</v>
      </c>
      <c r="AU71" s="86">
        <f t="shared" si="78"/>
        <v>0.21979129641342621</v>
      </c>
      <c r="AV71" s="86">
        <f t="shared" si="78"/>
        <v>0.12051736229140539</v>
      </c>
      <c r="AW71" s="86">
        <f t="shared" si="78"/>
        <v>0.16561087124387436</v>
      </c>
      <c r="AX71" s="86">
        <f t="shared" si="78"/>
        <v>0.75666784287652544</v>
      </c>
      <c r="AY71" s="86">
        <f t="shared" si="78"/>
        <v>0.57059599585460608</v>
      </c>
      <c r="AZ71" s="86">
        <f t="shared" si="78"/>
        <v>0.83502454789718061</v>
      </c>
      <c r="BA71" s="86">
        <f t="shared" si="78"/>
        <v>0.92599838980387672</v>
      </c>
      <c r="BB71" s="86">
        <f t="shared" si="78"/>
        <v>0</v>
      </c>
      <c r="BC71" s="86">
        <f t="shared" si="78"/>
        <v>0.94336549727893704</v>
      </c>
      <c r="BD71" s="86">
        <f t="shared" si="78"/>
        <v>0.57757134977162683</v>
      </c>
      <c r="BE71" s="86">
        <f t="shared" si="78"/>
        <v>0.89130440797115817</v>
      </c>
      <c r="BF71" s="86">
        <f t="shared" si="78"/>
        <v>0.17280973627461838</v>
      </c>
      <c r="BG71" s="86">
        <f t="shared" si="78"/>
        <v>0.16698312311518027</v>
      </c>
      <c r="BH71" s="86">
        <f t="shared" si="78"/>
        <v>0.91861175039378296</v>
      </c>
      <c r="BI71" s="86">
        <f t="shared" si="78"/>
        <v>0.94022060142103225</v>
      </c>
      <c r="BJ71" s="86">
        <f t="shared" ref="BJ71:BU71" si="79">IFERROR(BJ32/BJ12,0)</f>
        <v>0.9893018553758326</v>
      </c>
      <c r="BK71" s="86">
        <f t="shared" si="79"/>
        <v>0.87216215568288069</v>
      </c>
      <c r="BL71" s="86">
        <f t="shared" si="79"/>
        <v>0.57301050490268302</v>
      </c>
      <c r="BM71" s="86">
        <f t="shared" si="79"/>
        <v>0.57301544801697668</v>
      </c>
      <c r="BN71" s="86">
        <f t="shared" si="79"/>
        <v>0.49223354201381048</v>
      </c>
      <c r="BO71" s="86">
        <f t="shared" si="79"/>
        <v>0.55657113552346715</v>
      </c>
      <c r="BP71" s="86">
        <f t="shared" si="79"/>
        <v>6.8526668539020189E-2</v>
      </c>
      <c r="BQ71" s="86">
        <f t="shared" si="79"/>
        <v>0.67852758342653519</v>
      </c>
      <c r="BR71" s="86"/>
      <c r="BS71" s="86"/>
      <c r="BT71" s="86">
        <f t="shared" si="79"/>
        <v>0</v>
      </c>
      <c r="BU71" s="86">
        <f t="shared" si="79"/>
        <v>0</v>
      </c>
      <c r="BV71" s="86">
        <f t="shared" si="78"/>
        <v>0.20654214214922531</v>
      </c>
      <c r="BW71" s="86">
        <f t="shared" si="78"/>
        <v>0.2699399853297032</v>
      </c>
    </row>
    <row r="72" spans="1:75" x14ac:dyDescent="0.2">
      <c r="A72" s="207" t="s">
        <v>110</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row>
    <row r="73" spans="1:75" x14ac:dyDescent="0.2">
      <c r="A73" s="96" t="s">
        <v>284</v>
      </c>
      <c r="B73" s="86">
        <f t="shared" ref="B73:AG73" si="80">IFERROR(B40/B37,0)</f>
        <v>0</v>
      </c>
      <c r="C73" s="86">
        <f t="shared" si="80"/>
        <v>3.0329186990352242E-2</v>
      </c>
      <c r="D73" s="86">
        <f t="shared" si="80"/>
        <v>4.4062613154383888E-2</v>
      </c>
      <c r="E73" s="86">
        <f t="shared" si="80"/>
        <v>5.2022738124076283E-2</v>
      </c>
      <c r="F73" s="86">
        <f t="shared" si="80"/>
        <v>0</v>
      </c>
      <c r="G73" s="86">
        <f t="shared" si="80"/>
        <v>4.5774496375407751E-2</v>
      </c>
      <c r="H73" s="86">
        <f t="shared" si="80"/>
        <v>5.9390350544319494E-2</v>
      </c>
      <c r="I73" s="86">
        <f t="shared" si="80"/>
        <v>6.7095592835121148E-2</v>
      </c>
      <c r="J73" s="86">
        <f t="shared" si="80"/>
        <v>6.6226677360835984E-2</v>
      </c>
      <c r="K73" s="86">
        <f t="shared" si="80"/>
        <v>5.5996778561181154E-2</v>
      </c>
      <c r="L73" s="86">
        <f t="shared" si="80"/>
        <v>-1.182810761015024</v>
      </c>
      <c r="M73" s="86">
        <f t="shared" si="80"/>
        <v>-2.5193342599493218</v>
      </c>
      <c r="N73" s="86">
        <f t="shared" si="80"/>
        <v>2.9306240954890383E-2</v>
      </c>
      <c r="O73" s="86">
        <f t="shared" si="80"/>
        <v>5.8867253277506179E-2</v>
      </c>
      <c r="P73" s="86">
        <f t="shared" si="80"/>
        <v>3.7156160743448026E-2</v>
      </c>
      <c r="Q73" s="86">
        <f t="shared" si="80"/>
        <v>3.1862487137579838E-2</v>
      </c>
      <c r="R73" s="86">
        <f t="shared" si="80"/>
        <v>6.4293537020336591E-2</v>
      </c>
      <c r="S73" s="86">
        <f t="shared" si="80"/>
        <v>0.29247013093022717</v>
      </c>
      <c r="T73" s="86">
        <f t="shared" si="80"/>
        <v>0.26324413652521411</v>
      </c>
      <c r="U73" s="86">
        <f t="shared" si="80"/>
        <v>6.357322179516732E-2</v>
      </c>
      <c r="V73" s="86">
        <f t="shared" si="80"/>
        <v>0.17280188118211695</v>
      </c>
      <c r="W73" s="86">
        <f t="shared" si="80"/>
        <v>0.18166376547348551</v>
      </c>
      <c r="X73" s="86">
        <f t="shared" si="80"/>
        <v>4.0702352217331629E-2</v>
      </c>
      <c r="Y73" s="86">
        <f t="shared" si="80"/>
        <v>7.3468744769462524E-2</v>
      </c>
      <c r="Z73" s="86">
        <f t="shared" si="80"/>
        <v>0</v>
      </c>
      <c r="AA73" s="86">
        <f t="shared" si="80"/>
        <v>1.3884770078713292E-2</v>
      </c>
      <c r="AB73" s="86">
        <f t="shared" si="80"/>
        <v>0.35008988562923921</v>
      </c>
      <c r="AC73" s="86">
        <f t="shared" si="80"/>
        <v>0.81908847197325974</v>
      </c>
      <c r="AD73" s="86">
        <f t="shared" si="80"/>
        <v>0.12830340560912251</v>
      </c>
      <c r="AE73" s="86">
        <f t="shared" si="80"/>
        <v>0.2042407158096064</v>
      </c>
      <c r="AF73" s="86">
        <f t="shared" si="80"/>
        <v>0</v>
      </c>
      <c r="AG73" s="86">
        <f t="shared" si="80"/>
        <v>5.4384236453201971E-2</v>
      </c>
      <c r="AH73" s="86">
        <f t="shared" ref="AH73:BW73" si="81">IFERROR(AH40/AH37,0)</f>
        <v>0</v>
      </c>
      <c r="AI73" s="86">
        <f t="shared" si="81"/>
        <v>0.59337581017247065</v>
      </c>
      <c r="AJ73" s="86">
        <f t="shared" si="81"/>
        <v>0.15718854073270688</v>
      </c>
      <c r="AK73" s="86">
        <f t="shared" si="81"/>
        <v>0.10365685680108244</v>
      </c>
      <c r="AL73" s="86">
        <f t="shared" si="81"/>
        <v>-8.3004877130305577E-2</v>
      </c>
      <c r="AM73" s="86">
        <f t="shared" si="81"/>
        <v>-4.9056954148600583E-2</v>
      </c>
      <c r="AN73" s="86">
        <f t="shared" si="81"/>
        <v>0.142143292684098</v>
      </c>
      <c r="AO73" s="86">
        <f t="shared" si="81"/>
        <v>7.5038709570865073E-2</v>
      </c>
      <c r="AP73" s="86">
        <f t="shared" si="81"/>
        <v>5.0631954652534207E-2</v>
      </c>
      <c r="AQ73" s="86">
        <f t="shared" si="81"/>
        <v>7.659269677824504E-2</v>
      </c>
      <c r="AR73" s="86">
        <f t="shared" si="81"/>
        <v>0.14125377388047297</v>
      </c>
      <c r="AS73" s="86">
        <f t="shared" si="81"/>
        <v>0.53137797229499539</v>
      </c>
      <c r="AT73" s="86">
        <f t="shared" si="81"/>
        <v>4.2797876814712407E-2</v>
      </c>
      <c r="AU73" s="86">
        <f t="shared" si="81"/>
        <v>6.0155690897015579E-3</v>
      </c>
      <c r="AV73" s="86">
        <f t="shared" si="81"/>
        <v>0.51695567302166734</v>
      </c>
      <c r="AW73" s="86">
        <f t="shared" si="81"/>
        <v>0.54346377203188023</v>
      </c>
      <c r="AX73" s="86">
        <f t="shared" si="81"/>
        <v>4.3144084701668965E-2</v>
      </c>
      <c r="AY73" s="86">
        <f t="shared" si="81"/>
        <v>-0.1575331602029521</v>
      </c>
      <c r="AZ73" s="86">
        <f t="shared" si="81"/>
        <v>0.48372846571839101</v>
      </c>
      <c r="BA73" s="86">
        <f t="shared" si="81"/>
        <v>0.51171452433263098</v>
      </c>
      <c r="BB73" s="86">
        <f t="shared" si="81"/>
        <v>0</v>
      </c>
      <c r="BC73" s="86">
        <f t="shared" si="81"/>
        <v>0.29733373550447884</v>
      </c>
      <c r="BD73" s="86">
        <f t="shared" si="81"/>
        <v>7.576917493765499E-2</v>
      </c>
      <c r="BE73" s="86">
        <f t="shared" si="81"/>
        <v>0.12683997384926177</v>
      </c>
      <c r="BF73" s="86">
        <f t="shared" si="81"/>
        <v>5.4944088445787277E-2</v>
      </c>
      <c r="BG73" s="86">
        <f t="shared" si="81"/>
        <v>9.5266273382862809E-2</v>
      </c>
      <c r="BH73" s="86">
        <f t="shared" si="81"/>
        <v>-6.5070798726720572E-2</v>
      </c>
      <c r="BI73" s="86">
        <f t="shared" si="81"/>
        <v>-0.19118494107871278</v>
      </c>
      <c r="BJ73" s="86">
        <f t="shared" ref="BJ73:BU73" si="82">IFERROR(BJ40/BJ37,0)</f>
        <v>0.21306064880112835</v>
      </c>
      <c r="BK73" s="86">
        <f t="shared" si="82"/>
        <v>0.3929611201448866</v>
      </c>
      <c r="BL73" s="86">
        <f t="shared" si="82"/>
        <v>0.13979084712274417</v>
      </c>
      <c r="BM73" s="86">
        <f t="shared" si="82"/>
        <v>0.16635331269508849</v>
      </c>
      <c r="BN73" s="86">
        <f t="shared" si="82"/>
        <v>4.8700764080189238E-2</v>
      </c>
      <c r="BO73" s="86">
        <f t="shared" si="82"/>
        <v>8.6509574491461377E-2</v>
      </c>
      <c r="BP73" s="86">
        <f t="shared" si="82"/>
        <v>0.60506097403769299</v>
      </c>
      <c r="BQ73" s="86">
        <f t="shared" si="82"/>
        <v>0.4989680027943309</v>
      </c>
      <c r="BR73" s="86"/>
      <c r="BS73" s="86"/>
      <c r="BT73" s="86">
        <f t="shared" si="82"/>
        <v>0</v>
      </c>
      <c r="BU73" s="86">
        <f t="shared" si="82"/>
        <v>0</v>
      </c>
      <c r="BV73" s="86">
        <f t="shared" si="81"/>
        <v>0.27891608977638793</v>
      </c>
      <c r="BW73" s="86">
        <f t="shared" si="81"/>
        <v>0.29760772528974916</v>
      </c>
    </row>
    <row r="74" spans="1:75" x14ac:dyDescent="0.2">
      <c r="A74" s="96" t="s">
        <v>88</v>
      </c>
      <c r="B74" s="86">
        <f t="shared" ref="B74:AG74" si="83">IFERROR(+B45/B37,0)</f>
        <v>0</v>
      </c>
      <c r="C74" s="86">
        <f t="shared" si="83"/>
        <v>3.0329186990352242E-2</v>
      </c>
      <c r="D74" s="86">
        <f t="shared" si="83"/>
        <v>3.3406868498308219E-3</v>
      </c>
      <c r="E74" s="86">
        <f t="shared" si="83"/>
        <v>1.6886096847953185E-3</v>
      </c>
      <c r="F74" s="86">
        <f t="shared" si="83"/>
        <v>0</v>
      </c>
      <c r="G74" s="86">
        <f t="shared" si="83"/>
        <v>8.1479585772943567E-3</v>
      </c>
      <c r="H74" s="86">
        <f t="shared" si="83"/>
        <v>3.6536743990042593E-2</v>
      </c>
      <c r="I74" s="86">
        <f t="shared" si="83"/>
        <v>3.3952271678389885E-2</v>
      </c>
      <c r="J74" s="86">
        <f t="shared" si="83"/>
        <v>2.3334350479059889E-2</v>
      </c>
      <c r="K74" s="86">
        <f t="shared" si="83"/>
        <v>1.7037511469286427E-2</v>
      </c>
      <c r="L74" s="86">
        <f t="shared" si="83"/>
        <v>6.1466293691082637E-3</v>
      </c>
      <c r="M74" s="86">
        <f t="shared" si="83"/>
        <v>-1.6987033387986288</v>
      </c>
      <c r="N74" s="86">
        <f t="shared" si="83"/>
        <v>1.2396674038344047E-2</v>
      </c>
      <c r="O74" s="86">
        <f t="shared" si="83"/>
        <v>2.9991755230087715E-2</v>
      </c>
      <c r="P74" s="86">
        <f t="shared" si="83"/>
        <v>1.2088815669342024E-2</v>
      </c>
      <c r="Q74" s="86">
        <f t="shared" si="83"/>
        <v>1.0283521228320897E-2</v>
      </c>
      <c r="R74" s="86">
        <f t="shared" si="83"/>
        <v>0.15582454543905841</v>
      </c>
      <c r="S74" s="86">
        <f t="shared" si="83"/>
        <v>0.15545657120976844</v>
      </c>
      <c r="T74" s="86">
        <f t="shared" si="83"/>
        <v>0.2399348635939233</v>
      </c>
      <c r="U74" s="86">
        <f t="shared" si="83"/>
        <v>4.8791733869172856E-2</v>
      </c>
      <c r="V74" s="86">
        <f t="shared" si="83"/>
        <v>5.3919098924448385E-2</v>
      </c>
      <c r="W74" s="86">
        <f t="shared" si="83"/>
        <v>5.0450927574603198E-2</v>
      </c>
      <c r="X74" s="86">
        <f t="shared" si="83"/>
        <v>1.5854986038146623E-2</v>
      </c>
      <c r="Y74" s="86">
        <f t="shared" si="83"/>
        <v>1.3774158929573581E-2</v>
      </c>
      <c r="Z74" s="86">
        <f t="shared" si="83"/>
        <v>0</v>
      </c>
      <c r="AA74" s="86">
        <f t="shared" si="83"/>
        <v>-4.1045562569212365E-2</v>
      </c>
      <c r="AB74" s="86">
        <f t="shared" si="83"/>
        <v>0.16613674087517455</v>
      </c>
      <c r="AC74" s="86">
        <f t="shared" si="83"/>
        <v>-1.2591673065157516</v>
      </c>
      <c r="AD74" s="86">
        <f t="shared" si="83"/>
        <v>8.8279444812540728E-2</v>
      </c>
      <c r="AE74" s="86">
        <f t="shared" si="83"/>
        <v>0.15029232218887137</v>
      </c>
      <c r="AF74" s="86">
        <f t="shared" si="83"/>
        <v>0</v>
      </c>
      <c r="AG74" s="86">
        <f t="shared" si="83"/>
        <v>5.1527093596059115E-2</v>
      </c>
      <c r="AH74" s="86">
        <f t="shared" ref="AH74:BW74" si="84">IFERROR(+AH45/AH37,0)</f>
        <v>0</v>
      </c>
      <c r="AI74" s="86">
        <f t="shared" si="84"/>
        <v>0.37827529385916731</v>
      </c>
      <c r="AJ74" s="86">
        <f t="shared" si="84"/>
        <v>9.7223642375628042E-2</v>
      </c>
      <c r="AK74" s="86">
        <f t="shared" si="84"/>
        <v>-1.0158095248632508E-2</v>
      </c>
      <c r="AL74" s="86">
        <f t="shared" si="84"/>
        <v>-0.11613905482352553</v>
      </c>
      <c r="AM74" s="86">
        <f t="shared" si="84"/>
        <v>-0.16689755515845431</v>
      </c>
      <c r="AN74" s="86">
        <f t="shared" si="84"/>
        <v>4.3268158154873473E-3</v>
      </c>
      <c r="AO74" s="86">
        <f t="shared" si="84"/>
        <v>4.9076950360306499E-3</v>
      </c>
      <c r="AP74" s="86">
        <f t="shared" si="84"/>
        <v>1.2845535403801582E-2</v>
      </c>
      <c r="AQ74" s="86">
        <f t="shared" si="84"/>
        <v>4.050921061378057E-3</v>
      </c>
      <c r="AR74" s="86">
        <f t="shared" si="84"/>
        <v>8.9424970851577495E-2</v>
      </c>
      <c r="AS74" s="86">
        <f t="shared" si="84"/>
        <v>0.41974179777357251</v>
      </c>
      <c r="AT74" s="86">
        <f t="shared" si="84"/>
        <v>2.3940781399849197E-2</v>
      </c>
      <c r="AU74" s="86">
        <f t="shared" si="84"/>
        <v>-8.532603130849005E-2</v>
      </c>
      <c r="AV74" s="86">
        <f t="shared" si="84"/>
        <v>-0.43910521162313854</v>
      </c>
      <c r="AW74" s="86">
        <f t="shared" si="84"/>
        <v>0.11873355951007099</v>
      </c>
      <c r="AX74" s="86">
        <f t="shared" si="84"/>
        <v>2.3226580403652979E-2</v>
      </c>
      <c r="AY74" s="86">
        <f t="shared" si="84"/>
        <v>-0.16932070447838138</v>
      </c>
      <c r="AZ74" s="86">
        <f t="shared" si="84"/>
        <v>0.40378282797970333</v>
      </c>
      <c r="BA74" s="86">
        <f t="shared" si="84"/>
        <v>0.38649031100500753</v>
      </c>
      <c r="BB74" s="86">
        <f t="shared" si="84"/>
        <v>0</v>
      </c>
      <c r="BC74" s="86">
        <f t="shared" si="84"/>
        <v>0.15806254339976392</v>
      </c>
      <c r="BD74" s="86">
        <f t="shared" si="84"/>
        <v>3.5480505238624165E-2</v>
      </c>
      <c r="BE74" s="86">
        <f t="shared" si="84"/>
        <v>6.0226314226314227E-2</v>
      </c>
      <c r="BF74" s="86">
        <f t="shared" si="84"/>
        <v>-2.5957851751394374E-2</v>
      </c>
      <c r="BG74" s="86">
        <f t="shared" si="84"/>
        <v>6.9571180523302512E-3</v>
      </c>
      <c r="BH74" s="86">
        <f t="shared" si="84"/>
        <v>-7.2167136218945521E-2</v>
      </c>
      <c r="BI74" s="86">
        <f t="shared" si="84"/>
        <v>-0.21244240066475298</v>
      </c>
      <c r="BJ74" s="86">
        <f t="shared" ref="BJ74:BU74" si="85">IFERROR(+BJ45/BJ37,0)</f>
        <v>9.6135401974612136E-2</v>
      </c>
      <c r="BK74" s="86">
        <f t="shared" si="85"/>
        <v>0.25278234875999261</v>
      </c>
      <c r="BL74" s="86">
        <f t="shared" si="85"/>
        <v>9.9761912904099095E-2</v>
      </c>
      <c r="BM74" s="86">
        <f t="shared" si="85"/>
        <v>0.11886566015044286</v>
      </c>
      <c r="BN74" s="86">
        <f t="shared" si="85"/>
        <v>-2.7104558846436998E-2</v>
      </c>
      <c r="BO74" s="86">
        <f t="shared" si="85"/>
        <v>2.5491924035381194E-2</v>
      </c>
      <c r="BP74" s="86">
        <f t="shared" si="85"/>
        <v>-1.0975713512259262</v>
      </c>
      <c r="BQ74" s="86">
        <f t="shared" si="85"/>
        <v>3.2058596272108553E-2</v>
      </c>
      <c r="BR74" s="86"/>
      <c r="BS74" s="86"/>
      <c r="BT74" s="86">
        <f t="shared" si="85"/>
        <v>0</v>
      </c>
      <c r="BU74" s="86">
        <f t="shared" si="85"/>
        <v>0</v>
      </c>
      <c r="BV74" s="86">
        <f t="shared" si="84"/>
        <v>-7.3846058356789993E-2</v>
      </c>
      <c r="BW74" s="86">
        <f t="shared" si="84"/>
        <v>8.8783223538281775E-2</v>
      </c>
    </row>
    <row r="75" spans="1:75" x14ac:dyDescent="0.2">
      <c r="A75" s="207" t="s">
        <v>89</v>
      </c>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row>
    <row r="76" spans="1:75" ht="24" x14ac:dyDescent="0.2">
      <c r="A76" s="204" t="s">
        <v>194</v>
      </c>
      <c r="B76" s="205">
        <f t="shared" ref="B76:AG76" si="86">B10-B14</f>
        <v>0</v>
      </c>
      <c r="C76" s="205">
        <f t="shared" si="86"/>
        <v>345714056</v>
      </c>
      <c r="D76" s="205">
        <f t="shared" si="86"/>
        <v>-392596661</v>
      </c>
      <c r="E76" s="205">
        <f t="shared" si="86"/>
        <v>-456943264</v>
      </c>
      <c r="F76" s="205">
        <f t="shared" si="86"/>
        <v>0</v>
      </c>
      <c r="G76" s="205">
        <f t="shared" si="86"/>
        <v>-2900610</v>
      </c>
      <c r="H76" s="205">
        <f t="shared" si="86"/>
        <v>413424760</v>
      </c>
      <c r="I76" s="205">
        <f t="shared" si="86"/>
        <v>285159391</v>
      </c>
      <c r="J76" s="205">
        <f t="shared" si="86"/>
        <v>391744535</v>
      </c>
      <c r="K76" s="205">
        <f t="shared" si="86"/>
        <v>417135659</v>
      </c>
      <c r="L76" s="205">
        <f t="shared" si="86"/>
        <v>-321089654</v>
      </c>
      <c r="M76" s="205">
        <f t="shared" si="86"/>
        <v>65187833</v>
      </c>
      <c r="N76" s="205">
        <f t="shared" si="86"/>
        <v>-42019943</v>
      </c>
      <c r="O76" s="205">
        <f t="shared" si="86"/>
        <v>24365578</v>
      </c>
      <c r="P76" s="205">
        <f t="shared" si="86"/>
        <v>324517000</v>
      </c>
      <c r="Q76" s="205">
        <f t="shared" si="86"/>
        <v>164238000</v>
      </c>
      <c r="R76" s="205">
        <f t="shared" si="86"/>
        <v>907976553</v>
      </c>
      <c r="S76" s="205">
        <f t="shared" si="86"/>
        <v>-281734317</v>
      </c>
      <c r="T76" s="205">
        <f t="shared" si="86"/>
        <v>-364716141</v>
      </c>
      <c r="U76" s="205">
        <f t="shared" si="86"/>
        <v>59439626</v>
      </c>
      <c r="V76" s="205">
        <f t="shared" si="86"/>
        <v>3524164007</v>
      </c>
      <c r="W76" s="205">
        <f t="shared" si="86"/>
        <v>3186916378</v>
      </c>
      <c r="X76" s="205">
        <f t="shared" si="86"/>
        <v>39961000</v>
      </c>
      <c r="Y76" s="205">
        <f t="shared" si="86"/>
        <v>41360000</v>
      </c>
      <c r="Z76" s="205">
        <f t="shared" si="86"/>
        <v>0</v>
      </c>
      <c r="AA76" s="205">
        <f t="shared" si="86"/>
        <v>-423639127</v>
      </c>
      <c r="AB76" s="205">
        <f t="shared" si="86"/>
        <v>1452035955</v>
      </c>
      <c r="AC76" s="205">
        <f t="shared" si="86"/>
        <v>-148267673</v>
      </c>
      <c r="AD76" s="205">
        <f t="shared" si="86"/>
        <v>-17835000</v>
      </c>
      <c r="AE76" s="205">
        <f t="shared" si="86"/>
        <v>305628000</v>
      </c>
      <c r="AF76" s="205">
        <f t="shared" si="86"/>
        <v>0</v>
      </c>
      <c r="AG76" s="205">
        <f t="shared" si="86"/>
        <v>1842000</v>
      </c>
      <c r="AH76" s="205">
        <f t="shared" ref="AH76:BG76" si="87">AH10-AH14</f>
        <v>0</v>
      </c>
      <c r="AI76" s="205">
        <f t="shared" si="87"/>
        <v>151896872</v>
      </c>
      <c r="AJ76" s="205">
        <f t="shared" si="87"/>
        <v>-296108950</v>
      </c>
      <c r="AK76" s="205">
        <f t="shared" si="87"/>
        <v>184432843</v>
      </c>
      <c r="AL76" s="205">
        <f t="shared" si="87"/>
        <v>1278912687</v>
      </c>
      <c r="AM76" s="205">
        <f t="shared" si="87"/>
        <v>390333916</v>
      </c>
      <c r="AN76" s="205">
        <f t="shared" si="87"/>
        <v>-1842457462</v>
      </c>
      <c r="AO76" s="205">
        <f t="shared" si="87"/>
        <v>-1959057212</v>
      </c>
      <c r="AP76" s="205">
        <f t="shared" si="87"/>
        <v>1370115937</v>
      </c>
      <c r="AQ76" s="205">
        <f t="shared" si="87"/>
        <v>1181343102</v>
      </c>
      <c r="AR76" s="205">
        <f t="shared" si="87"/>
        <v>531552805</v>
      </c>
      <c r="AS76" s="205">
        <f t="shared" si="87"/>
        <v>493820853</v>
      </c>
      <c r="AT76" s="205">
        <f t="shared" si="87"/>
        <v>294121966</v>
      </c>
      <c r="AU76" s="205">
        <f t="shared" si="87"/>
        <v>-103173906</v>
      </c>
      <c r="AV76" s="205">
        <f t="shared" si="87"/>
        <v>41353157000</v>
      </c>
      <c r="AW76" s="205">
        <f t="shared" si="87"/>
        <v>45005010000</v>
      </c>
      <c r="AX76" s="205">
        <f t="shared" si="87"/>
        <v>62573965</v>
      </c>
      <c r="AY76" s="205">
        <f t="shared" si="87"/>
        <v>97557357</v>
      </c>
      <c r="AZ76" s="205">
        <f t="shared" si="87"/>
        <v>12458328458</v>
      </c>
      <c r="BA76" s="205">
        <f t="shared" si="87"/>
        <v>15598562110</v>
      </c>
      <c r="BB76" s="205">
        <f t="shared" si="87"/>
        <v>0</v>
      </c>
      <c r="BC76" s="205">
        <f t="shared" si="87"/>
        <v>50171922</v>
      </c>
      <c r="BD76" s="205">
        <f t="shared" si="87"/>
        <v>-218342363</v>
      </c>
      <c r="BE76" s="205">
        <f t="shared" si="87"/>
        <v>51131659</v>
      </c>
      <c r="BF76" s="205">
        <f t="shared" si="87"/>
        <v>-1297866204</v>
      </c>
      <c r="BG76" s="205">
        <f t="shared" si="87"/>
        <v>-1457776945</v>
      </c>
      <c r="BH76" s="205">
        <f t="shared" ref="BH76:BI76" si="88">BH10-BH14</f>
        <v>814826000</v>
      </c>
      <c r="BI76" s="205">
        <f t="shared" si="88"/>
        <v>947862000</v>
      </c>
      <c r="BJ76" s="205">
        <f t="shared" ref="BJ76:BU76" si="89">BJ10-BJ14</f>
        <v>42171</v>
      </c>
      <c r="BK76" s="205">
        <f t="shared" si="89"/>
        <v>125893</v>
      </c>
      <c r="BL76" s="205">
        <f t="shared" si="89"/>
        <v>481303579</v>
      </c>
      <c r="BM76" s="205">
        <f t="shared" si="89"/>
        <v>580052390</v>
      </c>
      <c r="BN76" s="205">
        <f t="shared" si="89"/>
        <v>66031508</v>
      </c>
      <c r="BO76" s="205">
        <f t="shared" si="89"/>
        <v>53267703</v>
      </c>
      <c r="BP76" s="205">
        <f t="shared" si="89"/>
        <v>-557519</v>
      </c>
      <c r="BQ76" s="205">
        <f t="shared" si="89"/>
        <v>-82375</v>
      </c>
      <c r="BR76" s="205"/>
      <c r="BS76" s="205"/>
      <c r="BT76" s="205">
        <f t="shared" si="89"/>
        <v>0</v>
      </c>
      <c r="BU76" s="205">
        <f t="shared" si="89"/>
        <v>0</v>
      </c>
      <c r="BV76" s="205">
        <f t="shared" ref="BV76:BW76" si="90">BV10-BV14</f>
        <v>61029045799</v>
      </c>
      <c r="BW76" s="205">
        <f t="shared" si="90"/>
        <v>64909861461</v>
      </c>
    </row>
    <row r="77" spans="1:75" x14ac:dyDescent="0.2">
      <c r="A77" s="207" t="s">
        <v>219</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row>
    <row r="78" spans="1:75" x14ac:dyDescent="0.2">
      <c r="A78" s="96" t="s">
        <v>220</v>
      </c>
      <c r="B78" s="86"/>
      <c r="C78" s="86" t="str">
        <f>IFERROR(C12/B12-1,"")</f>
        <v/>
      </c>
      <c r="D78" s="86"/>
      <c r="E78" s="86">
        <f>IFERROR(E12/D12-1,"")</f>
        <v>0.63989275534874657</v>
      </c>
      <c r="F78" s="86"/>
      <c r="G78" s="86" t="str">
        <f>IFERROR(G12/F12-1,"")</f>
        <v/>
      </c>
      <c r="H78" s="86"/>
      <c r="I78" s="86">
        <f>IFERROR(I12/H12-1,"")</f>
        <v>-2.8781631488495107E-2</v>
      </c>
      <c r="J78" s="86"/>
      <c r="K78" s="86">
        <f>IFERROR(K12/J12-1,"")</f>
        <v>6.3198140394520985E-2</v>
      </c>
      <c r="L78" s="86"/>
      <c r="M78" s="86">
        <f>IFERROR(M12/L12-1,"")</f>
        <v>0.89726284196655537</v>
      </c>
      <c r="N78" s="86"/>
      <c r="O78" s="86">
        <f>IFERROR(O12/N12-1,"")</f>
        <v>4.4621368040674847E-2</v>
      </c>
      <c r="P78" s="86"/>
      <c r="Q78" s="86">
        <f>IFERROR(Q12/P12-1,"")</f>
        <v>-5.8505020924724205E-2</v>
      </c>
      <c r="R78" s="86"/>
      <c r="S78" s="86">
        <f>IFERROR(S12/R12-1,"")</f>
        <v>8.9221310030762169E-2</v>
      </c>
      <c r="T78" s="86"/>
      <c r="U78" s="86">
        <f>IFERROR(U12/T12-1,"")</f>
        <v>-0.46724237327770679</v>
      </c>
      <c r="V78" s="86"/>
      <c r="W78" s="86">
        <f>IFERROR(W12/V12-1,"")</f>
        <v>0.12472101080242926</v>
      </c>
      <c r="X78" s="86"/>
      <c r="Y78" s="86">
        <f>IFERROR(Y12/X12-1,"")</f>
        <v>9.2700197291966102E-3</v>
      </c>
      <c r="Z78" s="86"/>
      <c r="AA78" s="86" t="str">
        <f>IFERROR(AA12/Z12-1,"")</f>
        <v/>
      </c>
      <c r="AB78" s="86"/>
      <c r="AC78" s="86">
        <f>IFERROR(AC12/AB12-1,"")</f>
        <v>-0.58681364898624078</v>
      </c>
      <c r="AD78" s="86"/>
      <c r="AE78" s="86">
        <f>IFERROR(AE12/AD12-1,"")</f>
        <v>-2.2370908956994784E-2</v>
      </c>
      <c r="AF78" s="86"/>
      <c r="AG78" s="86" t="str">
        <f>IFERROR(AG12/AF12-1,"")</f>
        <v/>
      </c>
      <c r="AH78" s="86"/>
      <c r="AI78" s="86" t="str">
        <f>IFERROR(AI12/AH12-1,"")</f>
        <v/>
      </c>
      <c r="AJ78" s="86"/>
      <c r="AK78" s="86">
        <f>IFERROR(AK12/AJ12-1,"")</f>
        <v>3.1800024893019474E-2</v>
      </c>
      <c r="AL78" s="86"/>
      <c r="AM78" s="86">
        <f>IFERROR(AM12/AL12-1,"")</f>
        <v>-4.4628234964150915E-2</v>
      </c>
      <c r="AN78" s="86"/>
      <c r="AO78" s="86">
        <f>IFERROR(AO12/AN12-1,"")</f>
        <v>5.9546266651530733E-2</v>
      </c>
      <c r="AP78" s="86"/>
      <c r="AQ78" s="86">
        <f>IFERROR(AQ12/AP12-1,"")</f>
        <v>-6.2081244267849334E-2</v>
      </c>
      <c r="AR78" s="86"/>
      <c r="AS78" s="86">
        <f>IFERROR(AS12/AR12-1,"")</f>
        <v>-3.9907075515303037E-3</v>
      </c>
      <c r="AT78" s="86"/>
      <c r="AU78" s="86">
        <f>IFERROR(AU12/AT12-1,"")</f>
        <v>4.0266064971730575E-2</v>
      </c>
      <c r="AV78" s="86"/>
      <c r="AW78" s="86">
        <f>IFERROR(AW12/AV12-1,"")</f>
        <v>-0.11225488842665066</v>
      </c>
      <c r="AX78" s="86"/>
      <c r="AY78" s="86">
        <f>IFERROR(AY12/AX12-1,"")</f>
        <v>0.24124661250115964</v>
      </c>
      <c r="AZ78" s="86"/>
      <c r="BA78" s="86">
        <f>IFERROR(BA12/AZ12-1,"")</f>
        <v>0.10515846663731687</v>
      </c>
      <c r="BB78" s="86"/>
      <c r="BC78" s="86" t="str">
        <f>IFERROR(BC12/BB12-1,"")</f>
        <v/>
      </c>
      <c r="BD78" s="86"/>
      <c r="BE78" s="86">
        <f>IFERROR(BE12/BD12-1,"")</f>
        <v>2.5536454742781571</v>
      </c>
      <c r="BF78" s="86"/>
      <c r="BG78" s="86">
        <f>IFERROR(BG12/BF12-1,"")</f>
        <v>8.2724623405906694E-2</v>
      </c>
      <c r="BH78" s="86"/>
      <c r="BI78" s="86">
        <f>IFERROR(BI12/BH12-1,"")</f>
        <v>0.12010154381091143</v>
      </c>
      <c r="BJ78" s="86"/>
      <c r="BK78" s="86">
        <f>IFERROR(BK12/BJ12-1,"")</f>
        <v>0.48833254043767838</v>
      </c>
      <c r="BL78" s="86"/>
      <c r="BM78" s="86">
        <f>IFERROR(BM12/BL12-1,"")</f>
        <v>1.4782855172996712E-3</v>
      </c>
      <c r="BN78" s="86"/>
      <c r="BO78" s="86">
        <f>IFERROR(BO12/BN12-1,"")</f>
        <v>1.3426269830109305E-2</v>
      </c>
      <c r="BP78" s="86"/>
      <c r="BQ78" s="86">
        <f>IFERROR(BQ12/BP12-1,"")</f>
        <v>0.13067606176413937</v>
      </c>
      <c r="BR78" s="86"/>
      <c r="BS78" s="86"/>
      <c r="BT78" s="86"/>
      <c r="BU78" s="86" t="str">
        <f>IFERROR(BU12/BT12-1,"")</f>
        <v/>
      </c>
      <c r="BV78" s="86"/>
      <c r="BW78" s="86">
        <f>IFERROR(BW12/BV12-1,"")</f>
        <v>-5.5077810245509617E-2</v>
      </c>
    </row>
    <row r="79" spans="1:75" x14ac:dyDescent="0.2">
      <c r="A79" s="96" t="s">
        <v>221</v>
      </c>
      <c r="B79" s="86"/>
      <c r="C79" s="86" t="str">
        <f>IFERROR(C16/B16-1,"")</f>
        <v/>
      </c>
      <c r="D79" s="86"/>
      <c r="E79" s="86">
        <f>IFERROR(E16/D16-1,"")</f>
        <v>0.76976196186801205</v>
      </c>
      <c r="F79" s="86"/>
      <c r="G79" s="86" t="str">
        <f>IFERROR(G16/F16-1,"")</f>
        <v/>
      </c>
      <c r="H79" s="86"/>
      <c r="I79" s="86">
        <f>IFERROR(I16/H16-1,"")</f>
        <v>-0.49936685206866416</v>
      </c>
      <c r="J79" s="86"/>
      <c r="K79" s="86">
        <f>IFERROR(K16/J16-1,"")</f>
        <v>2.0851932660103323E-2</v>
      </c>
      <c r="L79" s="86"/>
      <c r="M79" s="86">
        <f>IFERROR(M16/L16-1,"")</f>
        <v>-0.84730033867668542</v>
      </c>
      <c r="N79" s="86"/>
      <c r="O79" s="86">
        <f>IFERROR(O16/N16-1,"")</f>
        <v>-5.1297576401847067E-2</v>
      </c>
      <c r="P79" s="86"/>
      <c r="Q79" s="86">
        <f>IFERROR(Q16/P16-1,"")</f>
        <v>-0.10298380352067449</v>
      </c>
      <c r="R79" s="86"/>
      <c r="S79" s="86">
        <f>IFERROR(S16/R16-1,"")</f>
        <v>2.0109054510412174</v>
      </c>
      <c r="T79" s="86"/>
      <c r="U79" s="86">
        <f>IFERROR(U16/T16-1,"")</f>
        <v>-0.63853723942954033</v>
      </c>
      <c r="V79" s="86"/>
      <c r="W79" s="86">
        <f>IFERROR(W16/V16-1,"")</f>
        <v>0.11396024901244739</v>
      </c>
      <c r="X79" s="86"/>
      <c r="Y79" s="86">
        <f>IFERROR(Y16/X16-1,"")</f>
        <v>-6.7382990347841898E-2</v>
      </c>
      <c r="Z79" s="86"/>
      <c r="AA79" s="86" t="str">
        <f>IFERROR(AA16/Z16-1,"")</f>
        <v/>
      </c>
      <c r="AB79" s="86"/>
      <c r="AC79" s="86">
        <f>IFERROR(AC16/AB16-1,"")</f>
        <v>-8.9673251191694225E-2</v>
      </c>
      <c r="AD79" s="86"/>
      <c r="AE79" s="86">
        <f>IFERROR(AE16/AD16-1,"")</f>
        <v>-4.379234504072349E-2</v>
      </c>
      <c r="AF79" s="86"/>
      <c r="AG79" s="86" t="str">
        <f>IFERROR(AG16/AF16-1,"")</f>
        <v/>
      </c>
      <c r="AH79" s="86"/>
      <c r="AI79" s="86" t="str">
        <f>IFERROR(AI16/AH16-1,"")</f>
        <v/>
      </c>
      <c r="AJ79" s="86"/>
      <c r="AK79" s="86">
        <f>IFERROR(AK16/AJ16-1,"")</f>
        <v>8.3828079316232262E-2</v>
      </c>
      <c r="AL79" s="86"/>
      <c r="AM79" s="86">
        <f>IFERROR(AM16/AL16-1,"")</f>
        <v>0.20313820588042653</v>
      </c>
      <c r="AN79" s="86"/>
      <c r="AO79" s="86">
        <f>IFERROR(AO16/AN16-1,"")</f>
        <v>6.7105987547201318E-2</v>
      </c>
      <c r="AP79" s="86"/>
      <c r="AQ79" s="86">
        <f>IFERROR(AQ16/AP16-1,"")</f>
        <v>-0.11960176980260118</v>
      </c>
      <c r="AR79" s="86"/>
      <c r="AS79" s="86">
        <f>IFERROR(AS16/AR16-1,"")</f>
        <v>-0.35881706900412635</v>
      </c>
      <c r="AT79" s="86"/>
      <c r="AU79" s="86">
        <f>IFERROR(AU16/AT16-1,"")</f>
        <v>0.22624936284223662</v>
      </c>
      <c r="AV79" s="86"/>
      <c r="AW79" s="86">
        <f>IFERROR(AW16/AV16-1,"")</f>
        <v>-0.15777203728196143</v>
      </c>
      <c r="AX79" s="86"/>
      <c r="AY79" s="86">
        <f>IFERROR(AY16/AX16-1,"")</f>
        <v>1.1904061996600173</v>
      </c>
      <c r="AZ79" s="86"/>
      <c r="BA79" s="86">
        <f>IFERROR(BA16/AZ16-1,"")</f>
        <v>-0.50426863505687369</v>
      </c>
      <c r="BB79" s="86"/>
      <c r="BC79" s="86" t="str">
        <f>IFERROR(BC16/BB16-1,"")</f>
        <v/>
      </c>
      <c r="BD79" s="86"/>
      <c r="BE79" s="86">
        <f>IFERROR(BE16/BD16-1,"")</f>
        <v>-8.560747837899696E-2</v>
      </c>
      <c r="BF79" s="86"/>
      <c r="BG79" s="86">
        <f>IFERROR(BG16/BF16-1,"")</f>
        <v>9.0351185051316563E-2</v>
      </c>
      <c r="BH79" s="86"/>
      <c r="BI79" s="86">
        <f>IFERROR(BI16/BH16-1,"")</f>
        <v>-0.17728914234721627</v>
      </c>
      <c r="BJ79" s="86"/>
      <c r="BK79" s="86">
        <f>IFERROR(BK16/BJ16-1,"")</f>
        <v>16.784880489160646</v>
      </c>
      <c r="BL79" s="86"/>
      <c r="BM79" s="86">
        <f>IFERROR(BM16/BL16-1,"")</f>
        <v>1.4666917387995415E-3</v>
      </c>
      <c r="BN79" s="86"/>
      <c r="BO79" s="86">
        <f>IFERROR(BO16/BN16-1,"")</f>
        <v>-0.1149819902564807</v>
      </c>
      <c r="BP79" s="86"/>
      <c r="BQ79" s="86">
        <f>IFERROR(BQ16/BP16-1,"")</f>
        <v>-0.60977823662758024</v>
      </c>
      <c r="BR79" s="86"/>
      <c r="BS79" s="86"/>
      <c r="BT79" s="86"/>
      <c r="BU79" s="86" t="str">
        <f>IFERROR(BU16/BT16-1,"")</f>
        <v/>
      </c>
      <c r="BV79" s="86"/>
      <c r="BW79" s="86">
        <f>IFERROR(BW16/BV16-1,"")</f>
        <v>-0.13057776050887371</v>
      </c>
    </row>
    <row r="80" spans="1:75" x14ac:dyDescent="0.2">
      <c r="A80" s="96" t="s">
        <v>222</v>
      </c>
      <c r="B80" s="86"/>
      <c r="C80" s="86" t="str">
        <f>IFERROR(C32/B32-1,"")</f>
        <v/>
      </c>
      <c r="D80" s="86"/>
      <c r="E80" s="86">
        <f>IFERROR(E32/D32-1,"")</f>
        <v>-1.5664517459527683E-2</v>
      </c>
      <c r="F80" s="86"/>
      <c r="G80" s="86" t="str">
        <f>IFERROR(G32/F32-1,"")</f>
        <v/>
      </c>
      <c r="H80" s="86"/>
      <c r="I80" s="86">
        <f>IFERROR(I32/H32-1,"")</f>
        <v>7.1157422120220692E-2</v>
      </c>
      <c r="J80" s="86"/>
      <c r="K80" s="86">
        <f>IFERROR(K32/J32-1,"")</f>
        <v>0.25550872365933075</v>
      </c>
      <c r="L80" s="86"/>
      <c r="M80" s="86">
        <f>IFERROR(M32/L32-1,"")</f>
        <v>2.5625842635498151</v>
      </c>
      <c r="N80" s="86"/>
      <c r="O80" s="86">
        <f>IFERROR(O32/N32-1,"")</f>
        <v>0.14445470608994304</v>
      </c>
      <c r="P80" s="86"/>
      <c r="Q80" s="86">
        <f>IFERROR(Q32/P32-1,"")</f>
        <v>6.0470864590146611E-2</v>
      </c>
      <c r="R80" s="86"/>
      <c r="S80" s="86">
        <f>IFERROR(S32/R32-1,"")</f>
        <v>-9.5969541863211716E-2</v>
      </c>
      <c r="T80" s="86"/>
      <c r="U80" s="86">
        <f>IFERROR(U32/T32-1,"")</f>
        <v>0.79764698957331137</v>
      </c>
      <c r="V80" s="86"/>
      <c r="W80" s="86">
        <f>IFERROR(W32/V32-1,"")</f>
        <v>0.14774535226440211</v>
      </c>
      <c r="X80" s="86"/>
      <c r="Y80" s="86">
        <f>IFERROR(Y32/X32-1,"")</f>
        <v>1.3259155356736718E-2</v>
      </c>
      <c r="Z80" s="86"/>
      <c r="AA80" s="86" t="str">
        <f>IFERROR(AA32/Z32-1,"")</f>
        <v/>
      </c>
      <c r="AB80" s="86"/>
      <c r="AC80" s="86">
        <f>IFERROR(AC32/AB32-1,"")</f>
        <v>-0.71584302209557493</v>
      </c>
      <c r="AD80" s="86"/>
      <c r="AE80" s="86">
        <f>IFERROR(AE32/AD32-1,"")</f>
        <v>4.0646440754671831E-2</v>
      </c>
      <c r="AF80" s="86"/>
      <c r="AG80" s="86" t="str">
        <f>IFERROR(AG32/AF32-1,"")</f>
        <v/>
      </c>
      <c r="AH80" s="86"/>
      <c r="AI80" s="86" t="str">
        <f>IFERROR(AI32/AH32-1,"")</f>
        <v/>
      </c>
      <c r="AJ80" s="86"/>
      <c r="AK80" s="86">
        <f>IFERROR(AK32/AJ32-1,"")</f>
        <v>-6.0820016782691666E-2</v>
      </c>
      <c r="AL80" s="86"/>
      <c r="AM80" s="86">
        <f>IFERROR(AM32/AL32-1,"")</f>
        <v>-1.5001162152878458</v>
      </c>
      <c r="AN80" s="86"/>
      <c r="AO80" s="86">
        <f>IFERROR(AO32/AN32-1,"")</f>
        <v>2.5017863956531938E-2</v>
      </c>
      <c r="AP80" s="86"/>
      <c r="AQ80" s="86">
        <f>IFERROR(AQ32/AP32-1,"")</f>
        <v>2.0909963792338226E-2</v>
      </c>
      <c r="AR80" s="86"/>
      <c r="AS80" s="86">
        <f>IFERROR(AS32/AR32-1,"")</f>
        <v>0.17919003330185435</v>
      </c>
      <c r="AT80" s="86"/>
      <c r="AU80" s="86">
        <f>IFERROR(AU32/AT32-1,"")</f>
        <v>-0.32379477783211719</v>
      </c>
      <c r="AV80" s="86"/>
      <c r="AW80" s="86">
        <f>IFERROR(AW32/AV32-1,"")</f>
        <v>0.21990921950867715</v>
      </c>
      <c r="AX80" s="86"/>
      <c r="AY80" s="86">
        <f>IFERROR(AY32/AX32-1,"")</f>
        <v>-6.3987780597636434E-2</v>
      </c>
      <c r="AZ80" s="86"/>
      <c r="BA80" s="86">
        <f>IFERROR(BA32/AZ32-1,"")</f>
        <v>0.22556272526527987</v>
      </c>
      <c r="BB80" s="86"/>
      <c r="BC80" s="86" t="str">
        <f>IFERROR(BC32/BB32-1,"")</f>
        <v/>
      </c>
      <c r="BD80" s="86"/>
      <c r="BE80" s="86">
        <f>IFERROR(BE32/BD32-1,"")</f>
        <v>4.4839629369484273</v>
      </c>
      <c r="BF80" s="86"/>
      <c r="BG80" s="86">
        <f>IFERROR(BG32/BF32-1,"")</f>
        <v>4.6218476965411703E-2</v>
      </c>
      <c r="BH80" s="86"/>
      <c r="BI80" s="86">
        <f>IFERROR(BI32/BH32-1,"")</f>
        <v>0.1464501153213742</v>
      </c>
      <c r="BJ80" s="86"/>
      <c r="BK80" s="86">
        <f>IFERROR(BK32/BJ32-1,"")</f>
        <v>0.31210439946862545</v>
      </c>
      <c r="BL80" s="86"/>
      <c r="BM80" s="86">
        <f>IFERROR(BM32/BL32-1,"")</f>
        <v>1.4869248381945699E-3</v>
      </c>
      <c r="BN80" s="86"/>
      <c r="BO80" s="86">
        <f>IFERROR(BO32/BN32-1,"")</f>
        <v>0.14588657949041273</v>
      </c>
      <c r="BP80" s="86"/>
      <c r="BQ80" s="86">
        <f>IFERROR(BQ32/BP32-1,"")</f>
        <v>10.195566809003711</v>
      </c>
      <c r="BR80" s="86"/>
      <c r="BS80" s="86"/>
      <c r="BT80" s="86"/>
      <c r="BU80" s="86" t="str">
        <f>IFERROR(BU32/BT32-1,"")</f>
        <v/>
      </c>
      <c r="BV80" s="86"/>
      <c r="BW80" s="86">
        <f>IFERROR(BW32/BV32-1,"")</f>
        <v>0.23496483277369196</v>
      </c>
    </row>
    <row r="81" spans="1:75" x14ac:dyDescent="0.2">
      <c r="A81" s="96" t="s">
        <v>61</v>
      </c>
      <c r="B81" s="86"/>
      <c r="C81" s="86" t="str">
        <f>IFERROR(C37/B37-1,"")</f>
        <v/>
      </c>
      <c r="D81" s="86"/>
      <c r="E81" s="86">
        <f>IFERROR(E37/D37-1,"")</f>
        <v>0.19133461196406154</v>
      </c>
      <c r="F81" s="86"/>
      <c r="G81" s="86" t="str">
        <f>IFERROR(G37/F37-1,"")</f>
        <v/>
      </c>
      <c r="H81" s="86"/>
      <c r="I81" s="86">
        <f>IFERROR(I37/H37-1,"")</f>
        <v>0.39073430946830445</v>
      </c>
      <c r="J81" s="86"/>
      <c r="K81" s="86">
        <f>IFERROR(K37/J37-1,"")</f>
        <v>0.16631708949130242</v>
      </c>
      <c r="L81" s="86"/>
      <c r="M81" s="86">
        <f>IFERROR(M37/L37-1,"")</f>
        <v>-0.27755946687571387</v>
      </c>
      <c r="N81" s="86"/>
      <c r="O81" s="86">
        <f>IFERROR(O37/N37-1,"")</f>
        <v>0.44625283038340524</v>
      </c>
      <c r="P81" s="86"/>
      <c r="Q81" s="86">
        <f>IFERROR(Q37/P37-1,"")</f>
        <v>-0.20967778940594461</v>
      </c>
      <c r="R81" s="86"/>
      <c r="S81" s="86">
        <f>IFERROR(S37/R37-1,"")</f>
        <v>0.14347322676344998</v>
      </c>
      <c r="T81" s="86"/>
      <c r="U81" s="86">
        <f>IFERROR(U37/T37-1,"")</f>
        <v>-0.20839176726800723</v>
      </c>
      <c r="V81" s="86"/>
      <c r="W81" s="86">
        <f>IFERROR(W37/V37-1,"")</f>
        <v>0.34065206327076303</v>
      </c>
      <c r="X81" s="86"/>
      <c r="Y81" s="86">
        <f>IFERROR(Y37/X37-1,"")</f>
        <v>1.4034975625916988</v>
      </c>
      <c r="Z81" s="86"/>
      <c r="AA81" s="86" t="str">
        <f>IFERROR(AA37/Z37-1,"")</f>
        <v/>
      </c>
      <c r="AB81" s="86"/>
      <c r="AC81" s="86">
        <f>IFERROR(AC37/AB37-1,"")</f>
        <v>-0.92857286415237816</v>
      </c>
      <c r="AD81" s="86"/>
      <c r="AE81" s="86">
        <f>IFERROR(AE37/AD37-1,"")</f>
        <v>0.10596042268609374</v>
      </c>
      <c r="AF81" s="86"/>
      <c r="AG81" s="86" t="str">
        <f>IFERROR(AG37/AF37-1,"")</f>
        <v/>
      </c>
      <c r="AH81" s="86"/>
      <c r="AI81" s="86" t="str">
        <f>IFERROR(AI37/AH37-1,"")</f>
        <v/>
      </c>
      <c r="AJ81" s="86"/>
      <c r="AK81" s="86">
        <f>IFERROR(AK37/AJ37-1,"")</f>
        <v>1.1509363995279078</v>
      </c>
      <c r="AL81" s="86"/>
      <c r="AM81" s="86">
        <f>IFERROR(AM37/AL37-1,"")</f>
        <v>0.15629073004480576</v>
      </c>
      <c r="AN81" s="86"/>
      <c r="AO81" s="86">
        <f>IFERROR(AO37/AN37-1,"")</f>
        <v>2.9139947220646389E-2</v>
      </c>
      <c r="AP81" s="86"/>
      <c r="AQ81" s="86">
        <f>IFERROR(AQ37/AP37-1,"")</f>
        <v>7.5378762497191554E-2</v>
      </c>
      <c r="AR81" s="86"/>
      <c r="AS81" s="86">
        <f>IFERROR(AS37/AR37-1,"")</f>
        <v>0.32220826567624172</v>
      </c>
      <c r="AT81" s="86"/>
      <c r="AU81" s="86">
        <f>IFERROR(AU37/AT37-1,"")</f>
        <v>-1.6481428939008613E-2</v>
      </c>
      <c r="AV81" s="86"/>
      <c r="AW81" s="86">
        <f>IFERROR(AW37/AV37-1,"")</f>
        <v>0.26439560556041641</v>
      </c>
      <c r="AX81" s="86"/>
      <c r="AY81" s="86">
        <f>IFERROR(AY37/AX37-1,"")</f>
        <v>-0.12288118811704785</v>
      </c>
      <c r="AZ81" s="86"/>
      <c r="BA81" s="86">
        <f>IFERROR(BA37/AZ37-1,"")</f>
        <v>-1.507008662502507E-2</v>
      </c>
      <c r="BB81" s="86"/>
      <c r="BC81" s="86" t="str">
        <f>IFERROR(BC37/BB37-1,"")</f>
        <v/>
      </c>
      <c r="BD81" s="86"/>
      <c r="BE81" s="86">
        <f>IFERROR(BE37/BD37-1,"")</f>
        <v>0.34249057919452874</v>
      </c>
      <c r="BF81" s="86"/>
      <c r="BG81" s="86">
        <f>IFERROR(BG37/BF37-1,"")</f>
        <v>0.19486467635568672</v>
      </c>
      <c r="BH81" s="86"/>
      <c r="BI81" s="86">
        <f>IFERROR(BI37/BH37-1,"")</f>
        <v>-0.22502652665471445</v>
      </c>
      <c r="BJ81" s="86"/>
      <c r="BK81" s="86">
        <f>IFERROR(BK37/BJ37-1,"")</f>
        <v>4.7941325811001407</v>
      </c>
      <c r="BL81" s="86"/>
      <c r="BM81" s="86">
        <f>IFERROR(BM37/BL37-1,"")</f>
        <v>-0.10590500479134823</v>
      </c>
      <c r="BN81" s="86"/>
      <c r="BO81" s="86">
        <f>IFERROR(BO37/BN37-1,"")</f>
        <v>0.16858718336600953</v>
      </c>
      <c r="BP81" s="86"/>
      <c r="BQ81" s="86">
        <f>IFERROR(BQ37/BP37-1,"")</f>
        <v>1.0298252851041156</v>
      </c>
      <c r="BR81" s="86"/>
      <c r="BS81" s="86"/>
      <c r="BT81" s="86"/>
      <c r="BU81" s="86" t="str">
        <f>IFERROR(BU37/BT37-1,"")</f>
        <v/>
      </c>
      <c r="BV81" s="86"/>
      <c r="BW81" s="86">
        <f>IFERROR(BW37/BV37-1,"")</f>
        <v>0.13129160877992518</v>
      </c>
    </row>
    <row r="82" spans="1:75" x14ac:dyDescent="0.2">
      <c r="A82" s="96" t="s">
        <v>223</v>
      </c>
      <c r="B82" s="86"/>
      <c r="C82" s="86" t="str">
        <f>IFERROR(C38/B38-1,"")</f>
        <v/>
      </c>
      <c r="D82" s="86"/>
      <c r="E82" s="86">
        <f>IFERROR(E38/D38-1,"")</f>
        <v>0.95174176970164481</v>
      </c>
      <c r="F82" s="86"/>
      <c r="G82" s="86" t="str">
        <f>IFERROR(G38/F38-1,"")</f>
        <v/>
      </c>
      <c r="H82" s="86"/>
      <c r="I82" s="86">
        <f>IFERROR(I38/H38-1,"")</f>
        <v>0.55992284692036876</v>
      </c>
      <c r="J82" s="86"/>
      <c r="K82" s="86">
        <f>IFERROR(K38/J38-1,"")</f>
        <v>0.67402513640314332</v>
      </c>
      <c r="L82" s="86"/>
      <c r="M82" s="86" t="str">
        <f>IFERROR(M38/L38-1,"")</f>
        <v/>
      </c>
      <c r="N82" s="86"/>
      <c r="O82" s="86">
        <f>IFERROR(O38/N38-1,"")</f>
        <v>0.28081507727994692</v>
      </c>
      <c r="P82" s="86"/>
      <c r="Q82" s="86">
        <f>IFERROR(Q38/P38-1,"")</f>
        <v>-0.16966825570148347</v>
      </c>
      <c r="R82" s="86"/>
      <c r="S82" s="86">
        <f>IFERROR(S38/R38-1,"")</f>
        <v>-9.9354126996769376E-2</v>
      </c>
      <c r="T82" s="86"/>
      <c r="U82" s="86">
        <f>IFERROR(U38/T38-1,"")</f>
        <v>7.6094466829065954E-2</v>
      </c>
      <c r="V82" s="86"/>
      <c r="W82" s="86">
        <f>IFERROR(W38/V38-1,"")</f>
        <v>0.14950236007976803</v>
      </c>
      <c r="X82" s="86"/>
      <c r="Y82" s="86" t="str">
        <f>IFERROR(Y38/X38-1,"")</f>
        <v/>
      </c>
      <c r="Z82" s="86"/>
      <c r="AA82" s="86" t="str">
        <f>IFERROR(AA38/Z38-1,"")</f>
        <v/>
      </c>
      <c r="AB82" s="86"/>
      <c r="AC82" s="86">
        <f>IFERROR(AC38/AB38-1,"")</f>
        <v>-0.99172014678670617</v>
      </c>
      <c r="AD82" s="86"/>
      <c r="AE82" s="86">
        <f>IFERROR(AE38/AD38-1,"")</f>
        <v>-1.0465045788695782E-2</v>
      </c>
      <c r="AF82" s="86"/>
      <c r="AG82" s="86" t="str">
        <f>IFERROR(AG38/AF38-1,"")</f>
        <v/>
      </c>
      <c r="AH82" s="86"/>
      <c r="AI82" s="86" t="str">
        <f>IFERROR(AI38/AH38-1,"")</f>
        <v/>
      </c>
      <c r="AJ82" s="86"/>
      <c r="AK82" s="86" t="str">
        <f>IFERROR(AK38/AJ38-1,"")</f>
        <v/>
      </c>
      <c r="AL82" s="86"/>
      <c r="AM82" s="86">
        <f>IFERROR(AM38/AL38-1,"")</f>
        <v>0.28340102223074037</v>
      </c>
      <c r="AN82" s="86"/>
      <c r="AO82" s="86">
        <f>IFERROR(AO38/AN38-1,"")</f>
        <v>0.11366344553959129</v>
      </c>
      <c r="AP82" s="86"/>
      <c r="AQ82" s="86">
        <f>IFERROR(AQ38/AP38-1,"")</f>
        <v>6.8376901519994204E-2</v>
      </c>
      <c r="AR82" s="86"/>
      <c r="AS82" s="86" t="str">
        <f>IFERROR(AS38/AR38-1,"")</f>
        <v/>
      </c>
      <c r="AT82" s="86"/>
      <c r="AU82" s="86">
        <f>IFERROR(AU38/AT38-1,"")</f>
        <v>-4.0887346186971096E-2</v>
      </c>
      <c r="AV82" s="86"/>
      <c r="AW82" s="86">
        <f>IFERROR(AW38/AV38-1,"")</f>
        <v>0.19500917034455045</v>
      </c>
      <c r="AX82" s="86"/>
      <c r="AY82" s="86" t="str">
        <f>IFERROR(AY38/AX38-1,"")</f>
        <v/>
      </c>
      <c r="AZ82" s="86"/>
      <c r="BA82" s="86">
        <f>IFERROR(BA38/AZ38-1,"")</f>
        <v>-4.5842848973477124E-2</v>
      </c>
      <c r="BB82" s="86"/>
      <c r="BC82" s="86" t="str">
        <f>IFERROR(BC38/BB38-1,"")</f>
        <v/>
      </c>
      <c r="BD82" s="86"/>
      <c r="BE82" s="86">
        <f>IFERROR(BE38/BD38-1,"")</f>
        <v>0.2258368459615625</v>
      </c>
      <c r="BF82" s="86"/>
      <c r="BG82" s="86">
        <f>IFERROR(BG38/BF38-1,"")</f>
        <v>0.14681861353821923</v>
      </c>
      <c r="BH82" s="86"/>
      <c r="BI82" s="86">
        <f>IFERROR(BI38/BH38-1,"")</f>
        <v>-0.19446272493573269</v>
      </c>
      <c r="BJ82" s="86"/>
      <c r="BK82" s="86" t="str">
        <f>IFERROR(BK38/BJ38-1,"")</f>
        <v/>
      </c>
      <c r="BL82" s="86"/>
      <c r="BM82" s="86" t="str">
        <f>IFERROR(BM38/BL38-1,"")</f>
        <v/>
      </c>
      <c r="BN82" s="86"/>
      <c r="BO82" s="86">
        <f>IFERROR(BO38/BN38-1,"")</f>
        <v>-1</v>
      </c>
      <c r="BP82" s="86"/>
      <c r="BQ82" s="86">
        <f>IFERROR(BQ38/BP38-1,"")</f>
        <v>1.5750998248305428</v>
      </c>
      <c r="BR82" s="86"/>
      <c r="BS82" s="86"/>
      <c r="BT82" s="86"/>
      <c r="BU82" s="86" t="str">
        <f>IFERROR(BU38/BT38-1,"")</f>
        <v/>
      </c>
      <c r="BV82" s="86"/>
      <c r="BW82" s="86">
        <f>IFERROR(BW38/BV38-1,"")</f>
        <v>6.4126054729583437E-2</v>
      </c>
    </row>
    <row r="83" spans="1:75" x14ac:dyDescent="0.2">
      <c r="A83" s="96" t="s">
        <v>224</v>
      </c>
      <c r="B83" s="86"/>
      <c r="C83" s="86" t="str">
        <f>IFERROR(C39/B39-1,"")</f>
        <v/>
      </c>
      <c r="D83" s="86"/>
      <c r="E83" s="86">
        <f>IFERROR(E39/D39-1,"")</f>
        <v>0.10618316575215081</v>
      </c>
      <c r="F83" s="86"/>
      <c r="G83" s="86" t="str">
        <f>IFERROR(G39/F39-1,"")</f>
        <v/>
      </c>
      <c r="H83" s="86"/>
      <c r="I83" s="86">
        <f>IFERROR(I39/H39-1,"")</f>
        <v>-2.660194623745471E-2</v>
      </c>
      <c r="J83" s="86"/>
      <c r="K83" s="86">
        <f>IFERROR(K39/J39-1,"")</f>
        <v>0.15224455414052374</v>
      </c>
      <c r="L83" s="86"/>
      <c r="M83" s="86">
        <f>IFERROR(M39/L39-1,"")</f>
        <v>0.16478705548348405</v>
      </c>
      <c r="N83" s="86"/>
      <c r="O83" s="86">
        <f>IFERROR(O39/N39-1,"")</f>
        <v>0.49444726024374042</v>
      </c>
      <c r="P83" s="86"/>
      <c r="Q83" s="86">
        <f>IFERROR(Q39/P39-1,"")</f>
        <v>-0.22508482962450593</v>
      </c>
      <c r="R83" s="86"/>
      <c r="S83" s="86">
        <f>IFERROR(S39/R39-1,"")</f>
        <v>-0.15175870450056705</v>
      </c>
      <c r="T83" s="86"/>
      <c r="U83" s="86">
        <f>IFERROR(U39/T39-1,"")</f>
        <v>-0.12650975019775657</v>
      </c>
      <c r="V83" s="86"/>
      <c r="W83" s="86">
        <f>IFERROR(W39/V39-1,"")</f>
        <v>0.46183235071825979</v>
      </c>
      <c r="X83" s="86"/>
      <c r="Y83" s="86">
        <f>IFERROR(Y39/X39-1,"")</f>
        <v>1.3214021412008488</v>
      </c>
      <c r="Z83" s="86"/>
      <c r="AA83" s="86" t="str">
        <f>IFERROR(AA39/Z39-1,"")</f>
        <v/>
      </c>
      <c r="AB83" s="86"/>
      <c r="AC83" s="86">
        <f>IFERROR(AC39/AB39-1,"")</f>
        <v>-0.63088837431749045</v>
      </c>
      <c r="AD83" s="86"/>
      <c r="AE83" s="86">
        <f>IFERROR(AE39/AD39-1,"")</f>
        <v>8.5426865693388088E-2</v>
      </c>
      <c r="AF83" s="86"/>
      <c r="AG83" s="86" t="str">
        <f>IFERROR(AG39/AF39-1,"")</f>
        <v/>
      </c>
      <c r="AH83" s="86"/>
      <c r="AI83" s="86" t="str">
        <f>IFERROR(AI39/AH39-1,"")</f>
        <v/>
      </c>
      <c r="AJ83" s="86"/>
      <c r="AK83" s="86">
        <f>IFERROR(AK39/AJ39-1,"")</f>
        <v>1.2875544369673313</v>
      </c>
      <c r="AL83" s="86"/>
      <c r="AM83" s="86">
        <f>IFERROR(AM39/AL39-1,"")</f>
        <v>2.0087293105053305E-3</v>
      </c>
      <c r="AN83" s="86"/>
      <c r="AO83" s="86">
        <f>IFERROR(AO39/AN39-1,"")</f>
        <v>0.10013989042828664</v>
      </c>
      <c r="AP83" s="86"/>
      <c r="AQ83" s="86">
        <f>IFERROR(AQ39/AP39-1,"")</f>
        <v>-3.485857643496959E-2</v>
      </c>
      <c r="AR83" s="86"/>
      <c r="AS83" s="86">
        <f>IFERROR(AS39/AR39-1,"")</f>
        <v>-0.27846446404845715</v>
      </c>
      <c r="AT83" s="86"/>
      <c r="AU83" s="86">
        <f>IFERROR(AU39/AT39-1,"")</f>
        <v>9.847647766084533E-2</v>
      </c>
      <c r="AV83" s="86"/>
      <c r="AW83" s="86" t="str">
        <f>IFERROR(AW39/AV39-1,"")</f>
        <v/>
      </c>
      <c r="AX83" s="86"/>
      <c r="AY83" s="86">
        <f>IFERROR(AY39/AX39-1,"")</f>
        <v>6.1073139601986126E-2</v>
      </c>
      <c r="AZ83" s="86"/>
      <c r="BA83" s="86">
        <f>IFERROR(BA39/AZ39-1,"")</f>
        <v>-0.29003206228938705</v>
      </c>
      <c r="BB83" s="86"/>
      <c r="BC83" s="86" t="str">
        <f>IFERROR(BC39/BB39-1,"")</f>
        <v/>
      </c>
      <c r="BD83" s="86"/>
      <c r="BE83" s="86">
        <f>IFERROR(BE39/BD39-1,"")</f>
        <v>1.9955785127600612</v>
      </c>
      <c r="BF83" s="86"/>
      <c r="BG83" s="86">
        <f>IFERROR(BG39/BF39-1,"")</f>
        <v>0.13993727229414898</v>
      </c>
      <c r="BH83" s="86"/>
      <c r="BI83" s="86">
        <f>IFERROR(BI39/BH39-1,"")</f>
        <v>-0.10255900992806088</v>
      </c>
      <c r="BJ83" s="86"/>
      <c r="BK83" s="86">
        <f>IFERROR(BK39/BJ39-1,"")</f>
        <v>3.4695486969925078</v>
      </c>
      <c r="BL83" s="86"/>
      <c r="BM83" s="86">
        <f>IFERROR(BM39/BL39-1,"")</f>
        <v>-0.13351383393388583</v>
      </c>
      <c r="BN83" s="86"/>
      <c r="BO83" s="86">
        <f>IFERROR(BO39/BN39-1,"")</f>
        <v>0.243146713604242</v>
      </c>
      <c r="BP83" s="86"/>
      <c r="BQ83" s="86" t="str">
        <f>IFERROR(BQ39/BP39-1,"")</f>
        <v/>
      </c>
      <c r="BR83" s="86"/>
      <c r="BS83" s="86"/>
      <c r="BT83" s="86"/>
      <c r="BU83" s="86" t="str">
        <f>IFERROR(BU39/BT39-1,"")</f>
        <v/>
      </c>
      <c r="BV83" s="86"/>
      <c r="BW83" s="86">
        <f>IFERROR(BW39/BV39-1,"")</f>
        <v>0.17531455726531409</v>
      </c>
    </row>
    <row r="84" spans="1:75" x14ac:dyDescent="0.2">
      <c r="A84" s="96" t="s">
        <v>64</v>
      </c>
      <c r="B84" s="86"/>
      <c r="C84" s="86" t="str">
        <f>IFERROR(C40/B40-1,"")</f>
        <v/>
      </c>
      <c r="D84" s="86"/>
      <c r="E84" s="86">
        <f>IFERROR(E40/D40-1,"")</f>
        <v>0.40655499298702469</v>
      </c>
      <c r="F84" s="86"/>
      <c r="G84" s="86" t="str">
        <f>IFERROR(G40/F40-1,"")</f>
        <v/>
      </c>
      <c r="H84" s="86"/>
      <c r="I84" s="86">
        <f>IFERROR(I40/H40-1,"")</f>
        <v>0.57116673187987699</v>
      </c>
      <c r="J84" s="86"/>
      <c r="K84" s="86">
        <f>IFERROR(K40/J40-1,"")</f>
        <v>-1.3841515307731811E-2</v>
      </c>
      <c r="L84" s="86"/>
      <c r="M84" s="86">
        <f>IFERROR(M40/L40-1,"")</f>
        <v>0.53876617111107628</v>
      </c>
      <c r="N84" s="86"/>
      <c r="O84" s="86">
        <f>IFERROR(O40/N40-1,"")</f>
        <v>1.905078539432508</v>
      </c>
      <c r="P84" s="86"/>
      <c r="Q84" s="86">
        <f>IFERROR(Q40/P40-1,"")</f>
        <v>-0.32227574739305698</v>
      </c>
      <c r="R84" s="86"/>
      <c r="S84" s="86">
        <f>IFERROR(S40/R40-1,"")</f>
        <v>4.2016389180911284</v>
      </c>
      <c r="T84" s="86"/>
      <c r="U84" s="86">
        <f>IFERROR(U40/T40-1,"")</f>
        <v>-0.80882732501230414</v>
      </c>
      <c r="V84" s="86"/>
      <c r="W84" s="86">
        <f>IFERROR(W40/V40-1,"")</f>
        <v>0.40940538573702079</v>
      </c>
      <c r="X84" s="86"/>
      <c r="Y84" s="86">
        <f>IFERROR(Y40/X40-1,"")</f>
        <v>3.3383720930232554</v>
      </c>
      <c r="Z84" s="86"/>
      <c r="AA84" s="86" t="str">
        <f>IFERROR(AA40/Z40-1,"")</f>
        <v/>
      </c>
      <c r="AB84" s="86"/>
      <c r="AC84" s="86">
        <f>IFERROR(AC40/AB40-1,"")</f>
        <v>-0.83288536470083985</v>
      </c>
      <c r="AD84" s="86"/>
      <c r="AE84" s="86">
        <f>IFERROR(AE40/AD40-1,"")</f>
        <v>0.76053119801554336</v>
      </c>
      <c r="AF84" s="86"/>
      <c r="AG84" s="86" t="str">
        <f>IFERROR(AG40/AF40-1,"")</f>
        <v/>
      </c>
      <c r="AH84" s="86"/>
      <c r="AI84" s="86" t="str">
        <f>IFERROR(AI40/AH40-1,"")</f>
        <v/>
      </c>
      <c r="AJ84" s="86"/>
      <c r="AK84" s="86">
        <f>IFERROR(AK40/AJ40-1,"")</f>
        <v>0.41841959544133656</v>
      </c>
      <c r="AL84" s="86"/>
      <c r="AM84" s="86">
        <f>IFERROR(AM40/AL40-1,"")</f>
        <v>-0.31661724843937367</v>
      </c>
      <c r="AN84" s="86"/>
      <c r="AO84" s="86">
        <f>IFERROR(AO40/AN40-1,"")</f>
        <v>-0.45670786043424116</v>
      </c>
      <c r="AP84" s="86"/>
      <c r="AQ84" s="86">
        <f>IFERROR(AQ40/AP40-1,"")</f>
        <v>0.62676238835644549</v>
      </c>
      <c r="AR84" s="86"/>
      <c r="AS84" s="86">
        <f>IFERROR(AS40/AR40-1,"")</f>
        <v>3.973972219398882</v>
      </c>
      <c r="AT84" s="86"/>
      <c r="AU84" s="86">
        <f>IFERROR(AU40/AT40-1,"")</f>
        <v>-0.86175893863061714</v>
      </c>
      <c r="AV84" s="86"/>
      <c r="AW84" s="86">
        <f>IFERROR(AW40/AV40-1,"")</f>
        <v>0.3292304176137677</v>
      </c>
      <c r="AX84" s="86"/>
      <c r="AY84" s="86">
        <f>IFERROR(AY40/AX40-1,"")</f>
        <v>-4.2026475764830629</v>
      </c>
      <c r="AZ84" s="86"/>
      <c r="BA84" s="86">
        <f>IFERROR(BA40/AZ40-1,"")</f>
        <v>4.1912928103484459E-2</v>
      </c>
      <c r="BB84" s="86"/>
      <c r="BC84" s="86" t="str">
        <f>IFERROR(BC40/BB40-1,"")</f>
        <v/>
      </c>
      <c r="BD84" s="86"/>
      <c r="BE84" s="86">
        <f>IFERROR(BE40/BD40-1,"")</f>
        <v>1.2473713102726367</v>
      </c>
      <c r="BF84" s="86"/>
      <c r="BG84" s="86">
        <f>IFERROR(BG40/BF40-1,"")</f>
        <v>1.0717479920618183</v>
      </c>
      <c r="BH84" s="86"/>
      <c r="BI84" s="86">
        <f>IFERROR(BI40/BH40-1,"")</f>
        <v>1.2769546515223933</v>
      </c>
      <c r="BJ84" s="86"/>
      <c r="BK84" s="86">
        <f>IFERROR(BK40/BJ40-1,"")</f>
        <v>9.6864821925062881</v>
      </c>
      <c r="BL84" s="86"/>
      <c r="BM84" s="86">
        <f>IFERROR(BM40/BL40-1,"")</f>
        <v>6.3987144927022843E-2</v>
      </c>
      <c r="BN84" s="86"/>
      <c r="BO84" s="86">
        <f>IFERROR(BO40/BN40-1,"")</f>
        <v>1.0758191765268919</v>
      </c>
      <c r="BP84" s="86"/>
      <c r="BQ84" s="86">
        <f>IFERROR(BQ40/BP40-1,"")</f>
        <v>0.67391041893033932</v>
      </c>
      <c r="BR84" s="86"/>
      <c r="BS84" s="86"/>
      <c r="BT84" s="86"/>
      <c r="BU84" s="86" t="str">
        <f>IFERROR(BU40/BT40-1,"")</f>
        <v/>
      </c>
      <c r="BV84" s="86"/>
      <c r="BW84" s="86">
        <f>IFERROR(BW40/BV40-1,"")</f>
        <v>0.20710541510279201</v>
      </c>
    </row>
    <row r="85" spans="1:75" x14ac:dyDescent="0.2">
      <c r="A85" s="216"/>
      <c r="AJ85" s="86"/>
      <c r="AK85" s="86"/>
      <c r="AL85" s="86"/>
      <c r="AM85" s="86"/>
      <c r="AN85" s="86"/>
      <c r="AO85" s="86"/>
      <c r="AP85" s="86"/>
      <c r="AQ85" s="86"/>
      <c r="AR85" s="86"/>
      <c r="AS85" s="86"/>
      <c r="AT85" s="86"/>
      <c r="AU85" s="86"/>
      <c r="AV85" s="86"/>
      <c r="AW85" s="86"/>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row>
    <row r="86" spans="1:75" x14ac:dyDescent="0.2">
      <c r="A86" s="216"/>
    </row>
    <row r="87" spans="1:75" x14ac:dyDescent="0.2">
      <c r="A87" s="216"/>
    </row>
    <row r="88" spans="1:75" x14ac:dyDescent="0.2">
      <c r="A88" s="216"/>
    </row>
    <row r="89" spans="1:75" x14ac:dyDescent="0.2">
      <c r="A89" s="216"/>
    </row>
    <row r="90" spans="1:75" x14ac:dyDescent="0.2">
      <c r="A90" s="216"/>
    </row>
    <row r="91" spans="1:75" x14ac:dyDescent="0.2">
      <c r="A91" s="216"/>
    </row>
    <row r="92" spans="1:75" x14ac:dyDescent="0.2">
      <c r="A92" s="216"/>
    </row>
    <row r="93" spans="1:75" x14ac:dyDescent="0.2">
      <c r="A93" s="216"/>
    </row>
    <row r="94" spans="1:75" x14ac:dyDescent="0.2">
      <c r="A94" s="216"/>
    </row>
    <row r="95" spans="1:75" x14ac:dyDescent="0.2">
      <c r="A95" s="216"/>
    </row>
    <row r="96" spans="1:75"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216"/>
    </row>
    <row r="127" spans="1:1" x14ac:dyDescent="0.2">
      <c r="A127" s="216"/>
    </row>
    <row r="128" spans="1:1" x14ac:dyDescent="0.2">
      <c r="A128" s="216"/>
    </row>
    <row r="129" spans="1:73" x14ac:dyDescent="0.2">
      <c r="A129" s="216"/>
    </row>
    <row r="130" spans="1:73" x14ac:dyDescent="0.2">
      <c r="A130" s="216"/>
    </row>
    <row r="131" spans="1:73" x14ac:dyDescent="0.2">
      <c r="A131" s="216"/>
    </row>
    <row r="132" spans="1:73" x14ac:dyDescent="0.2">
      <c r="A132" s="216"/>
    </row>
    <row r="133" spans="1:73" x14ac:dyDescent="0.2">
      <c r="A133" s="216"/>
    </row>
    <row r="134" spans="1:73" x14ac:dyDescent="0.2">
      <c r="A134" s="216"/>
    </row>
    <row r="135" spans="1:73" x14ac:dyDescent="0.2">
      <c r="A135" s="216"/>
    </row>
    <row r="136" spans="1:73" x14ac:dyDescent="0.2">
      <c r="A136" s="216"/>
    </row>
    <row r="137" spans="1:73" x14ac:dyDescent="0.2">
      <c r="A137" s="216"/>
    </row>
    <row r="138" spans="1:73" x14ac:dyDescent="0.2">
      <c r="A138" s="216"/>
    </row>
    <row r="139" spans="1:73" x14ac:dyDescent="0.2">
      <c r="A139" s="216"/>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row>
    <row r="140" spans="1:73" x14ac:dyDescent="0.2">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N140" s="245"/>
      <c r="BO140" s="245"/>
      <c r="BP140" s="245"/>
      <c r="BQ140" s="245"/>
      <c r="BR140" s="245"/>
      <c r="BS140" s="245"/>
      <c r="BT140" s="245"/>
      <c r="BU140" s="245"/>
    </row>
    <row r="141" spans="1:73" x14ac:dyDescent="0.2">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row>
    <row r="143" spans="1:73" x14ac:dyDescent="0.2">
      <c r="A143" s="244"/>
    </row>
    <row r="144" spans="1:73" x14ac:dyDescent="0.2">
      <c r="A144" s="216"/>
    </row>
    <row r="145" spans="1:73" x14ac:dyDescent="0.2">
      <c r="A145" s="216"/>
    </row>
    <row r="146" spans="1:73" x14ac:dyDescent="0.2">
      <c r="A146" s="216"/>
      <c r="AJ146" s="245"/>
      <c r="AK146" s="245"/>
      <c r="AL146" s="245"/>
      <c r="AM146" s="245"/>
      <c r="AN146" s="245"/>
      <c r="AO146" s="245"/>
      <c r="AP146" s="245"/>
      <c r="AQ146" s="245"/>
      <c r="AR146" s="245"/>
      <c r="AS146" s="245"/>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N146" s="245"/>
      <c r="BO146" s="245"/>
      <c r="BP146" s="245"/>
      <c r="BQ146" s="245"/>
      <c r="BR146" s="245"/>
      <c r="BS146" s="245"/>
      <c r="BT146" s="245"/>
      <c r="BU146" s="245"/>
    </row>
    <row r="147" spans="1:73" x14ac:dyDescent="0.2">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45"/>
      <c r="AE147" s="245"/>
      <c r="AF147" s="245"/>
      <c r="AG147" s="245"/>
      <c r="AH147" s="245"/>
      <c r="AI147" s="245"/>
    </row>
    <row r="149" spans="1:73" x14ac:dyDescent="0.2">
      <c r="AJ149" s="245"/>
      <c r="AK149" s="245"/>
      <c r="AL149" s="245"/>
      <c r="AM149" s="245"/>
      <c r="AN149" s="245"/>
      <c r="AO149" s="245"/>
      <c r="AP149" s="245"/>
      <c r="AQ149" s="245"/>
      <c r="AR149" s="245"/>
      <c r="AS149" s="245"/>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N149" s="245"/>
      <c r="BO149" s="245"/>
      <c r="BP149" s="245"/>
      <c r="BQ149" s="245"/>
      <c r="BR149" s="245"/>
      <c r="BS149" s="245"/>
      <c r="BT149" s="245"/>
      <c r="BU149" s="245"/>
    </row>
    <row r="150" spans="1:73" x14ac:dyDescent="0.2">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245"/>
      <c r="AE150" s="245"/>
      <c r="AF150" s="245"/>
      <c r="AG150" s="245"/>
      <c r="AH150" s="245"/>
      <c r="AI150" s="245"/>
    </row>
    <row r="152" spans="1:73" x14ac:dyDescent="0.2">
      <c r="AJ152" s="245"/>
      <c r="AK152" s="245"/>
      <c r="AL152" s="245"/>
      <c r="AM152" s="245"/>
      <c r="AN152" s="245"/>
      <c r="AO152" s="245"/>
      <c r="AP152" s="245"/>
      <c r="AQ152" s="245"/>
      <c r="AR152" s="245"/>
      <c r="AS152" s="245"/>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N152" s="245"/>
      <c r="BO152" s="245"/>
      <c r="BP152" s="245"/>
      <c r="BQ152" s="245"/>
      <c r="BR152" s="245"/>
      <c r="BS152" s="245"/>
      <c r="BT152" s="245"/>
      <c r="BU152" s="245"/>
    </row>
    <row r="153" spans="1:73" x14ac:dyDescent="0.2">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c r="AC153" s="245"/>
      <c r="AD153" s="245"/>
      <c r="AE153" s="245"/>
      <c r="AF153" s="245"/>
      <c r="AG153" s="245"/>
      <c r="AH153" s="245"/>
      <c r="AI153" s="245"/>
    </row>
    <row r="154" spans="1:73" x14ac:dyDescent="0.2">
      <c r="AJ154" s="245"/>
      <c r="AK154" s="245"/>
      <c r="AL154" s="245"/>
      <c r="AM154" s="245"/>
      <c r="AN154" s="245"/>
      <c r="AO154" s="245"/>
      <c r="AP154" s="245"/>
      <c r="AQ154" s="245"/>
      <c r="AR154" s="245"/>
      <c r="AS154" s="245"/>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N154" s="245"/>
      <c r="BO154" s="245"/>
      <c r="BP154" s="245"/>
      <c r="BQ154" s="245"/>
      <c r="BR154" s="245"/>
      <c r="BS154" s="245"/>
      <c r="BT154" s="245"/>
      <c r="BU154" s="245"/>
    </row>
    <row r="155" spans="1:73" x14ac:dyDescent="0.2">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c r="AA155" s="245"/>
      <c r="AB155" s="245"/>
      <c r="AC155" s="245"/>
      <c r="AD155" s="245"/>
      <c r="AE155" s="245"/>
      <c r="AF155" s="245"/>
      <c r="AG155" s="245"/>
      <c r="AH155" s="245"/>
      <c r="AI155" s="245"/>
    </row>
    <row r="159" spans="1:73" x14ac:dyDescent="0.2">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8"/>
      <c r="BL159" s="228"/>
      <c r="BM159" s="228"/>
      <c r="BN159" s="228"/>
      <c r="BO159" s="228"/>
      <c r="BP159" s="228"/>
      <c r="BQ159" s="228"/>
      <c r="BR159" s="228"/>
      <c r="BS159" s="228"/>
      <c r="BT159" s="228"/>
      <c r="BU159" s="228"/>
    </row>
    <row r="160" spans="1:73" x14ac:dyDescent="0.2">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c r="AA160" s="228"/>
      <c r="AB160" s="228"/>
      <c r="AC160" s="228"/>
      <c r="AD160" s="228"/>
      <c r="AE160" s="228"/>
      <c r="AF160" s="228"/>
      <c r="AG160" s="228"/>
      <c r="AH160" s="228"/>
      <c r="AI160" s="228"/>
    </row>
    <row r="168" spans="1:75" x14ac:dyDescent="0.2">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row>
    <row r="169" spans="1:75" s="216" customFormat="1" x14ac:dyDescent="0.2">
      <c r="A169" s="214"/>
    </row>
    <row r="170" spans="1:75" s="216" customFormat="1" x14ac:dyDescent="0.2"/>
    <row r="171" spans="1:75" s="216" customFormat="1" x14ac:dyDescent="0.2">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row>
    <row r="175" spans="1:75" x14ac:dyDescent="0.2">
      <c r="AJ175" s="245"/>
      <c r="AK175" s="245"/>
      <c r="AL175" s="245"/>
      <c r="AM175" s="245"/>
      <c r="AN175" s="245"/>
      <c r="AO175" s="245"/>
      <c r="AP175" s="245"/>
      <c r="AQ175" s="245"/>
      <c r="AR175" s="245"/>
      <c r="AS175" s="245"/>
      <c r="AT175" s="245"/>
      <c r="AU175" s="245"/>
      <c r="AV175" s="245"/>
      <c r="AW175" s="245"/>
      <c r="AX175" s="245"/>
      <c r="AY175" s="245"/>
      <c r="AZ175" s="245"/>
      <c r="BA175" s="245"/>
      <c r="BB175" s="245"/>
      <c r="BC175" s="245"/>
      <c r="BD175" s="245"/>
      <c r="BE175" s="245"/>
      <c r="BF175" s="245"/>
      <c r="BG175" s="245"/>
      <c r="BH175" s="245"/>
      <c r="BI175" s="245"/>
      <c r="BJ175" s="245"/>
      <c r="BK175" s="245"/>
      <c r="BL175" s="245"/>
      <c r="BM175" s="245"/>
      <c r="BN175" s="245"/>
      <c r="BO175" s="245"/>
      <c r="BP175" s="245"/>
      <c r="BQ175" s="245"/>
      <c r="BR175" s="245"/>
      <c r="BS175" s="245"/>
      <c r="BT175" s="245"/>
      <c r="BU175" s="245"/>
    </row>
    <row r="176" spans="1:75" x14ac:dyDescent="0.2">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45"/>
      <c r="AE176" s="245"/>
      <c r="AF176" s="245"/>
      <c r="AG176" s="245"/>
      <c r="AH176" s="245"/>
      <c r="AI176" s="245"/>
    </row>
    <row r="180" spans="2:73" x14ac:dyDescent="0.2">
      <c r="AJ180" s="245"/>
      <c r="AK180" s="245"/>
      <c r="AL180" s="245"/>
      <c r="AM180" s="245"/>
      <c r="AN180" s="245"/>
      <c r="AO180" s="245"/>
      <c r="AP180" s="245"/>
      <c r="AQ180" s="245"/>
      <c r="AR180" s="245"/>
      <c r="AS180" s="245"/>
      <c r="AT180" s="245"/>
      <c r="AU180" s="245"/>
      <c r="AV180" s="245"/>
      <c r="AW180" s="245"/>
      <c r="AX180" s="245"/>
      <c r="AY180" s="245"/>
      <c r="AZ180" s="245"/>
      <c r="BA180" s="245"/>
      <c r="BB180" s="245"/>
      <c r="BC180" s="245"/>
      <c r="BD180" s="245"/>
      <c r="BE180" s="245"/>
      <c r="BF180" s="245"/>
      <c r="BG180" s="245"/>
      <c r="BH180" s="245"/>
      <c r="BI180" s="245"/>
      <c r="BJ180" s="245"/>
      <c r="BK180" s="245"/>
      <c r="BL180" s="245"/>
      <c r="BM180" s="245"/>
      <c r="BN180" s="245"/>
      <c r="BO180" s="245"/>
      <c r="BP180" s="245"/>
      <c r="BQ180" s="245"/>
      <c r="BR180" s="245"/>
      <c r="BS180" s="245"/>
      <c r="BT180" s="245"/>
      <c r="BU180" s="245"/>
    </row>
    <row r="181" spans="2:73" x14ac:dyDescent="0.2">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245"/>
      <c r="AG181" s="245"/>
      <c r="AH181" s="245"/>
      <c r="AI181" s="245"/>
    </row>
    <row r="185" spans="2:73" x14ac:dyDescent="0.2">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row>
    <row r="186" spans="2:73" x14ac:dyDescent="0.2">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c r="BQ186" s="245"/>
      <c r="BR186" s="245"/>
      <c r="BS186" s="245"/>
      <c r="BT186" s="245"/>
      <c r="BU186" s="245"/>
    </row>
    <row r="187" spans="2:73" x14ac:dyDescent="0.2">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row>
    <row r="190" spans="2:73" x14ac:dyDescent="0.2">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row>
    <row r="191" spans="2:73" x14ac:dyDescent="0.2">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c r="AA191" s="245"/>
      <c r="AB191" s="245"/>
      <c r="AC191" s="245"/>
      <c r="AD191" s="245"/>
      <c r="AE191" s="245"/>
      <c r="AF191" s="245"/>
      <c r="AG191" s="245"/>
      <c r="AH191" s="245"/>
      <c r="AI191" s="245"/>
    </row>
    <row r="196" spans="2:73" x14ac:dyDescent="0.2">
      <c r="AJ196" s="228"/>
      <c r="AK196" s="216"/>
      <c r="AL196" s="228"/>
      <c r="AM196" s="216"/>
      <c r="AN196" s="228"/>
      <c r="AO196" s="216"/>
      <c r="AP196" s="228"/>
      <c r="AQ196" s="216"/>
      <c r="AR196" s="228"/>
      <c r="AS196" s="216"/>
      <c r="AT196" s="228"/>
      <c r="AU196" s="216"/>
      <c r="AV196" s="228"/>
      <c r="AW196" s="216"/>
      <c r="AX196" s="216"/>
      <c r="AY196" s="216"/>
      <c r="AZ196" s="216"/>
      <c r="BA196" s="216"/>
      <c r="BB196" s="216"/>
      <c r="BC196" s="216"/>
      <c r="BD196" s="216"/>
      <c r="BE196" s="216"/>
      <c r="BF196" s="216"/>
      <c r="BG196" s="216"/>
      <c r="BH196" s="216"/>
      <c r="BI196" s="216"/>
      <c r="BJ196" s="228"/>
      <c r="BK196" s="216"/>
      <c r="BL196" s="216"/>
      <c r="BM196" s="216"/>
      <c r="BN196" s="216"/>
      <c r="BO196" s="216"/>
      <c r="BP196" s="216"/>
      <c r="BQ196" s="216"/>
      <c r="BR196" s="216"/>
      <c r="BS196" s="216"/>
      <c r="BT196" s="216"/>
      <c r="BU196" s="216"/>
    </row>
    <row r="197" spans="2:73" x14ac:dyDescent="0.2">
      <c r="B197" s="228"/>
      <c r="C197" s="216"/>
      <c r="D197" s="228"/>
      <c r="E197" s="216"/>
      <c r="F197" s="228"/>
      <c r="G197" s="216"/>
      <c r="H197" s="228"/>
      <c r="I197" s="216"/>
      <c r="J197" s="228"/>
      <c r="K197" s="216"/>
      <c r="L197" s="228"/>
      <c r="M197" s="216"/>
      <c r="N197" s="228"/>
      <c r="O197" s="216"/>
      <c r="P197" s="228"/>
      <c r="Q197" s="216"/>
      <c r="R197" s="228"/>
      <c r="S197" s="216"/>
      <c r="T197" s="228"/>
      <c r="U197" s="216"/>
      <c r="V197" s="228"/>
      <c r="W197" s="216"/>
      <c r="X197" s="228"/>
      <c r="Y197" s="216"/>
      <c r="Z197" s="228"/>
      <c r="AA197" s="216"/>
      <c r="AB197" s="228"/>
      <c r="AC197" s="216"/>
      <c r="AD197" s="228"/>
      <c r="AE197" s="216"/>
      <c r="AF197" s="228"/>
      <c r="AG197" s="216"/>
      <c r="AH197" s="228"/>
      <c r="AI197" s="216"/>
      <c r="AJ197" s="228"/>
      <c r="AK197" s="216"/>
      <c r="AL197" s="228"/>
      <c r="AM197" s="216"/>
      <c r="AN197" s="228"/>
      <c r="AO197" s="216"/>
      <c r="AP197" s="228"/>
      <c r="AQ197" s="216"/>
      <c r="AR197" s="228"/>
      <c r="AS197" s="216"/>
      <c r="AT197" s="228"/>
      <c r="AU197" s="216"/>
      <c r="AV197" s="228"/>
      <c r="AW197" s="216"/>
      <c r="AX197" s="216"/>
      <c r="AY197" s="216"/>
      <c r="AZ197" s="216"/>
      <c r="BA197" s="216"/>
      <c r="BB197" s="216"/>
      <c r="BC197" s="216"/>
      <c r="BD197" s="216"/>
      <c r="BE197" s="216"/>
      <c r="BF197" s="216"/>
      <c r="BG197" s="216"/>
      <c r="BH197" s="216"/>
      <c r="BI197" s="216"/>
      <c r="BJ197" s="228"/>
      <c r="BK197" s="216"/>
      <c r="BL197" s="216"/>
      <c r="BM197" s="216"/>
      <c r="BN197" s="216"/>
      <c r="BO197" s="216"/>
      <c r="BP197" s="216"/>
      <c r="BQ197" s="216"/>
      <c r="BR197" s="216"/>
      <c r="BS197" s="216"/>
      <c r="BT197" s="216"/>
      <c r="BU197" s="216"/>
    </row>
    <row r="198" spans="2:73" x14ac:dyDescent="0.2">
      <c r="B198" s="228"/>
      <c r="C198" s="216"/>
      <c r="D198" s="228"/>
      <c r="E198" s="216"/>
      <c r="F198" s="228"/>
      <c r="G198" s="216"/>
      <c r="H198" s="228"/>
      <c r="I198" s="216"/>
      <c r="J198" s="228"/>
      <c r="K198" s="216"/>
      <c r="L198" s="228"/>
      <c r="M198" s="216"/>
      <c r="N198" s="228"/>
      <c r="O198" s="216"/>
      <c r="P198" s="228"/>
      <c r="Q198" s="216"/>
      <c r="R198" s="228"/>
      <c r="S198" s="216"/>
      <c r="T198" s="228"/>
      <c r="U198" s="216"/>
      <c r="V198" s="228"/>
      <c r="W198" s="216"/>
      <c r="X198" s="228"/>
      <c r="Y198" s="216"/>
      <c r="Z198" s="228"/>
      <c r="AA198" s="216"/>
      <c r="AB198" s="228"/>
      <c r="AC198" s="216"/>
      <c r="AD198" s="228"/>
      <c r="AE198" s="216"/>
      <c r="AF198" s="228"/>
      <c r="AG198" s="216"/>
      <c r="AH198" s="228"/>
      <c r="AI198" s="216"/>
      <c r="AJ198" s="246"/>
      <c r="AK198" s="245"/>
      <c r="AL198" s="246"/>
      <c r="AM198" s="245"/>
      <c r="AN198" s="246"/>
      <c r="AO198" s="245"/>
      <c r="AP198" s="246"/>
      <c r="AQ198" s="245"/>
      <c r="AR198" s="246"/>
      <c r="AS198" s="245"/>
      <c r="AT198" s="246"/>
      <c r="AU198" s="245"/>
      <c r="AV198" s="246"/>
      <c r="AW198" s="245"/>
      <c r="AX198" s="245"/>
      <c r="AY198" s="245"/>
      <c r="AZ198" s="245"/>
      <c r="BA198" s="245"/>
      <c r="BB198" s="245"/>
      <c r="BC198" s="245"/>
      <c r="BD198" s="245"/>
      <c r="BE198" s="245"/>
      <c r="BF198" s="245"/>
      <c r="BG198" s="245"/>
      <c r="BH198" s="245"/>
      <c r="BI198" s="245"/>
      <c r="BJ198" s="246"/>
      <c r="BK198" s="245"/>
      <c r="BL198" s="245"/>
      <c r="BM198" s="245"/>
      <c r="BN198" s="245"/>
      <c r="BO198" s="245"/>
      <c r="BP198" s="245"/>
      <c r="BQ198" s="245"/>
      <c r="BR198" s="245"/>
      <c r="BS198" s="245"/>
      <c r="BT198" s="245"/>
      <c r="BU198" s="245"/>
    </row>
    <row r="199" spans="2:73" x14ac:dyDescent="0.2">
      <c r="B199" s="246"/>
      <c r="C199" s="245"/>
      <c r="D199" s="246"/>
      <c r="E199" s="245"/>
      <c r="F199" s="246"/>
      <c r="G199" s="245"/>
      <c r="H199" s="246"/>
      <c r="I199" s="245"/>
      <c r="J199" s="246"/>
      <c r="K199" s="245"/>
      <c r="L199" s="246"/>
      <c r="M199" s="245"/>
      <c r="N199" s="246"/>
      <c r="O199" s="245"/>
      <c r="P199" s="246"/>
      <c r="Q199" s="245"/>
      <c r="R199" s="246"/>
      <c r="S199" s="245"/>
      <c r="T199" s="246"/>
      <c r="U199" s="245"/>
      <c r="V199" s="246"/>
      <c r="W199" s="245"/>
      <c r="X199" s="246"/>
      <c r="Y199" s="245"/>
      <c r="Z199" s="246"/>
      <c r="AA199" s="245"/>
      <c r="AB199" s="246"/>
      <c r="AC199" s="245"/>
      <c r="AD199" s="246"/>
      <c r="AE199" s="245"/>
      <c r="AF199" s="246"/>
      <c r="AG199" s="245"/>
      <c r="AH199" s="246"/>
      <c r="AI199" s="245"/>
      <c r="AJ199" s="246"/>
      <c r="AK199" s="245"/>
      <c r="AL199" s="246"/>
      <c r="AM199" s="245"/>
      <c r="AN199" s="246"/>
      <c r="AO199" s="245"/>
      <c r="AP199" s="246"/>
      <c r="AQ199" s="245"/>
      <c r="AR199" s="246"/>
      <c r="AS199" s="245"/>
      <c r="AT199" s="246"/>
      <c r="AU199" s="245"/>
      <c r="AV199" s="246"/>
      <c r="AW199" s="245"/>
      <c r="AX199" s="245"/>
      <c r="AY199" s="245"/>
      <c r="AZ199" s="245"/>
      <c r="BA199" s="245"/>
      <c r="BB199" s="245"/>
      <c r="BC199" s="245"/>
      <c r="BD199" s="245"/>
      <c r="BE199" s="245"/>
      <c r="BF199" s="245"/>
      <c r="BG199" s="245"/>
      <c r="BH199" s="245"/>
      <c r="BI199" s="245"/>
      <c r="BJ199" s="246"/>
      <c r="BK199" s="245"/>
      <c r="BL199" s="245"/>
      <c r="BM199" s="245"/>
      <c r="BN199" s="245"/>
      <c r="BO199" s="245"/>
      <c r="BP199" s="245"/>
      <c r="BQ199" s="245"/>
      <c r="BR199" s="245"/>
      <c r="BS199" s="245"/>
      <c r="BT199" s="245"/>
      <c r="BU199" s="245"/>
    </row>
    <row r="200" spans="2:73" x14ac:dyDescent="0.2">
      <c r="B200" s="246"/>
      <c r="C200" s="245"/>
      <c r="D200" s="246"/>
      <c r="E200" s="245"/>
      <c r="F200" s="246"/>
      <c r="G200" s="245"/>
      <c r="H200" s="246"/>
      <c r="I200" s="245"/>
      <c r="J200" s="246"/>
      <c r="K200" s="245"/>
      <c r="L200" s="246"/>
      <c r="M200" s="245"/>
      <c r="N200" s="246"/>
      <c r="O200" s="245"/>
      <c r="P200" s="246"/>
      <c r="Q200" s="245"/>
      <c r="R200" s="246"/>
      <c r="S200" s="245"/>
      <c r="T200" s="246"/>
      <c r="U200" s="245"/>
      <c r="V200" s="246"/>
      <c r="W200" s="245"/>
      <c r="X200" s="246"/>
      <c r="Y200" s="245"/>
      <c r="Z200" s="246"/>
      <c r="AA200" s="245"/>
      <c r="AB200" s="246"/>
      <c r="AC200" s="245"/>
      <c r="AD200" s="246"/>
      <c r="AE200" s="245"/>
      <c r="AF200" s="246"/>
      <c r="AG200" s="245"/>
      <c r="AH200" s="246"/>
      <c r="AI200" s="245"/>
      <c r="AJ200" s="246"/>
      <c r="AK200" s="245"/>
      <c r="AL200" s="246"/>
      <c r="AM200" s="245"/>
      <c r="AN200" s="246"/>
      <c r="AO200" s="245"/>
      <c r="AP200" s="246"/>
      <c r="AQ200" s="245"/>
      <c r="AR200" s="246"/>
      <c r="AS200" s="245"/>
      <c r="AT200" s="246"/>
      <c r="AU200" s="245"/>
      <c r="AV200" s="246"/>
      <c r="AW200" s="245"/>
      <c r="AX200" s="245"/>
      <c r="AY200" s="245"/>
      <c r="AZ200" s="245"/>
      <c r="BA200" s="245"/>
      <c r="BB200" s="245"/>
      <c r="BC200" s="245"/>
      <c r="BD200" s="245"/>
      <c r="BE200" s="245"/>
      <c r="BF200" s="245"/>
      <c r="BG200" s="245"/>
      <c r="BH200" s="245"/>
      <c r="BI200" s="245"/>
      <c r="BJ200" s="246"/>
      <c r="BK200" s="245"/>
      <c r="BL200" s="245"/>
      <c r="BM200" s="245"/>
      <c r="BN200" s="245"/>
      <c r="BO200" s="245"/>
      <c r="BP200" s="245"/>
      <c r="BQ200" s="245"/>
      <c r="BR200" s="245"/>
      <c r="BS200" s="245"/>
      <c r="BT200" s="245"/>
      <c r="BU200" s="245"/>
    </row>
    <row r="201" spans="2:73" x14ac:dyDescent="0.2">
      <c r="B201" s="246"/>
      <c r="C201" s="245"/>
      <c r="D201" s="246"/>
      <c r="E201" s="245"/>
      <c r="F201" s="246"/>
      <c r="G201" s="245"/>
      <c r="H201" s="246"/>
      <c r="I201" s="245"/>
      <c r="J201" s="246"/>
      <c r="K201" s="245"/>
      <c r="L201" s="246"/>
      <c r="M201" s="245"/>
      <c r="N201" s="246"/>
      <c r="O201" s="245"/>
      <c r="P201" s="246"/>
      <c r="Q201" s="245"/>
      <c r="R201" s="246"/>
      <c r="S201" s="245"/>
      <c r="T201" s="246"/>
      <c r="U201" s="245"/>
      <c r="V201" s="246"/>
      <c r="W201" s="245"/>
      <c r="X201" s="246"/>
      <c r="Y201" s="245"/>
      <c r="Z201" s="246"/>
      <c r="AA201" s="245"/>
      <c r="AB201" s="246"/>
      <c r="AC201" s="245"/>
      <c r="AD201" s="246"/>
      <c r="AE201" s="245"/>
      <c r="AF201" s="246"/>
      <c r="AG201" s="245"/>
      <c r="AH201" s="246"/>
      <c r="AI201" s="245"/>
      <c r="AJ201" s="246"/>
      <c r="AK201" s="245"/>
      <c r="AL201" s="246"/>
      <c r="AM201" s="245"/>
      <c r="AN201" s="246"/>
      <c r="AO201" s="245"/>
      <c r="AP201" s="246"/>
      <c r="AQ201" s="245"/>
      <c r="AR201" s="246"/>
      <c r="AS201" s="245"/>
      <c r="AT201" s="246"/>
      <c r="AU201" s="245"/>
      <c r="AV201" s="246"/>
      <c r="AW201" s="245"/>
      <c r="AX201" s="245"/>
      <c r="AY201" s="245"/>
      <c r="AZ201" s="245"/>
      <c r="BA201" s="245"/>
      <c r="BB201" s="245"/>
      <c r="BC201" s="245"/>
      <c r="BD201" s="245"/>
      <c r="BE201" s="245"/>
      <c r="BF201" s="245"/>
      <c r="BG201" s="245"/>
      <c r="BH201" s="245"/>
      <c r="BI201" s="245"/>
      <c r="BJ201" s="246"/>
      <c r="BK201" s="245"/>
      <c r="BL201" s="245"/>
      <c r="BM201" s="245"/>
      <c r="BN201" s="245"/>
      <c r="BO201" s="245"/>
      <c r="BP201" s="245"/>
      <c r="BQ201" s="245"/>
      <c r="BR201" s="245"/>
      <c r="BS201" s="245"/>
      <c r="BT201" s="245"/>
      <c r="BU201" s="245"/>
    </row>
    <row r="202" spans="2:73" x14ac:dyDescent="0.2">
      <c r="B202" s="246"/>
      <c r="C202" s="245"/>
      <c r="D202" s="246"/>
      <c r="E202" s="245"/>
      <c r="F202" s="246"/>
      <c r="G202" s="245"/>
      <c r="H202" s="246"/>
      <c r="I202" s="245"/>
      <c r="J202" s="246"/>
      <c r="K202" s="245"/>
      <c r="L202" s="246"/>
      <c r="M202" s="245"/>
      <c r="N202" s="246"/>
      <c r="O202" s="245"/>
      <c r="P202" s="246"/>
      <c r="Q202" s="245"/>
      <c r="R202" s="246"/>
      <c r="S202" s="245"/>
      <c r="T202" s="246"/>
      <c r="U202" s="245"/>
      <c r="V202" s="246"/>
      <c r="W202" s="245"/>
      <c r="X202" s="246"/>
      <c r="Y202" s="245"/>
      <c r="Z202" s="246"/>
      <c r="AA202" s="245"/>
      <c r="AB202" s="246"/>
      <c r="AC202" s="245"/>
      <c r="AD202" s="246"/>
      <c r="AE202" s="245"/>
      <c r="AF202" s="246"/>
      <c r="AG202" s="245"/>
      <c r="AH202" s="246"/>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row>
    <row r="203" spans="2:73" x14ac:dyDescent="0.2">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row>
    <row r="204" spans="2:73" x14ac:dyDescent="0.2">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c r="BJ204" s="245"/>
      <c r="BK204" s="245"/>
      <c r="BL204" s="245"/>
      <c r="BM204" s="245"/>
      <c r="BN204" s="245"/>
      <c r="BO204" s="245"/>
      <c r="BP204" s="245"/>
      <c r="BQ204" s="245"/>
      <c r="BR204" s="245"/>
      <c r="BS204" s="245"/>
      <c r="BT204" s="245"/>
      <c r="BU204" s="245"/>
    </row>
    <row r="205" spans="2:73" x14ac:dyDescent="0.2">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45"/>
      <c r="AW205" s="245"/>
      <c r="AX205" s="245"/>
      <c r="AY205" s="245"/>
      <c r="AZ205" s="245"/>
      <c r="BA205" s="245"/>
      <c r="BB205" s="245"/>
      <c r="BC205" s="245"/>
      <c r="BD205" s="245"/>
      <c r="BE205" s="245"/>
      <c r="BF205" s="245"/>
      <c r="BG205" s="245"/>
      <c r="BH205" s="245"/>
      <c r="BI205" s="245"/>
      <c r="BJ205" s="245"/>
      <c r="BK205" s="245"/>
      <c r="BL205" s="245"/>
      <c r="BM205" s="245"/>
      <c r="BN205" s="245"/>
      <c r="BO205" s="245"/>
      <c r="BP205" s="245"/>
      <c r="BQ205" s="245"/>
      <c r="BR205" s="245"/>
      <c r="BS205" s="245"/>
      <c r="BT205" s="245"/>
      <c r="BU205" s="245"/>
    </row>
    <row r="206" spans="2:73" x14ac:dyDescent="0.2">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45"/>
      <c r="AW206" s="245"/>
      <c r="AX206" s="245"/>
      <c r="AY206" s="245"/>
      <c r="AZ206" s="245"/>
      <c r="BA206" s="245"/>
      <c r="BB206" s="245"/>
      <c r="BC206" s="245"/>
      <c r="BD206" s="245"/>
      <c r="BE206" s="245"/>
      <c r="BF206" s="245"/>
      <c r="BG206" s="245"/>
      <c r="BH206" s="245"/>
      <c r="BI206" s="245"/>
      <c r="BJ206" s="245"/>
      <c r="BK206" s="245"/>
      <c r="BL206" s="245"/>
      <c r="BM206" s="245"/>
      <c r="BN206" s="245"/>
      <c r="BO206" s="245"/>
      <c r="BP206" s="245"/>
      <c r="BQ206" s="245"/>
      <c r="BR206" s="245"/>
      <c r="BS206" s="245"/>
      <c r="BT206" s="245"/>
      <c r="BU206" s="245"/>
    </row>
    <row r="207" spans="2:73" x14ac:dyDescent="0.2">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45"/>
      <c r="BU207" s="245"/>
    </row>
    <row r="208" spans="2:73" x14ac:dyDescent="0.2">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c r="AV208" s="245"/>
      <c r="AW208" s="245"/>
      <c r="AX208" s="245"/>
      <c r="AY208" s="245"/>
      <c r="AZ208" s="245"/>
      <c r="BA208" s="245"/>
      <c r="BB208" s="245"/>
      <c r="BC208" s="245"/>
      <c r="BD208" s="245"/>
      <c r="BE208" s="245"/>
      <c r="BF208" s="245"/>
      <c r="BG208" s="245"/>
      <c r="BH208" s="245"/>
      <c r="BI208" s="245"/>
      <c r="BJ208" s="245"/>
      <c r="BK208" s="245"/>
      <c r="BL208" s="245"/>
      <c r="BM208" s="245"/>
      <c r="BN208" s="245"/>
      <c r="BO208" s="245"/>
      <c r="BP208" s="245"/>
      <c r="BQ208" s="245"/>
      <c r="BR208" s="245"/>
      <c r="BS208" s="245"/>
      <c r="BT208" s="245"/>
      <c r="BU208" s="245"/>
    </row>
    <row r="209" spans="2:73" x14ac:dyDescent="0.2">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45"/>
      <c r="AW209" s="245"/>
      <c r="AX209" s="245"/>
      <c r="AY209" s="245"/>
      <c r="AZ209" s="245"/>
      <c r="BA209" s="245"/>
      <c r="BB209" s="245"/>
      <c r="BC209" s="245"/>
      <c r="BD209" s="245"/>
      <c r="BE209" s="245"/>
      <c r="BF209" s="245"/>
      <c r="BG209" s="245"/>
      <c r="BH209" s="245"/>
      <c r="BI209" s="245"/>
      <c r="BJ209" s="245"/>
      <c r="BK209" s="245"/>
      <c r="BL209" s="245"/>
      <c r="BM209" s="245"/>
      <c r="BN209" s="245"/>
      <c r="BO209" s="245"/>
      <c r="BP209" s="245"/>
      <c r="BQ209" s="245"/>
      <c r="BR209" s="245"/>
      <c r="BS209" s="245"/>
      <c r="BT209" s="245"/>
      <c r="BU209" s="245"/>
    </row>
    <row r="210" spans="2:73" x14ac:dyDescent="0.2">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row>
    <row r="211" spans="2:73" x14ac:dyDescent="0.2">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45"/>
      <c r="AW211" s="245"/>
      <c r="AX211" s="245"/>
      <c r="AY211" s="245"/>
      <c r="AZ211" s="245"/>
      <c r="BA211" s="245"/>
      <c r="BB211" s="245"/>
      <c r="BC211" s="245"/>
      <c r="BD211" s="245"/>
      <c r="BE211" s="245"/>
      <c r="BF211" s="245"/>
      <c r="BG211" s="245"/>
      <c r="BH211" s="245"/>
      <c r="BI211" s="245"/>
      <c r="BJ211" s="245"/>
      <c r="BK211" s="245"/>
      <c r="BL211" s="245"/>
      <c r="BM211" s="245"/>
      <c r="BN211" s="245"/>
      <c r="BO211" s="245"/>
      <c r="BP211" s="245"/>
      <c r="BQ211" s="245"/>
      <c r="BR211" s="245"/>
      <c r="BS211" s="245"/>
      <c r="BT211" s="245"/>
      <c r="BU211" s="245"/>
    </row>
    <row r="212" spans="2:73" x14ac:dyDescent="0.2">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45"/>
      <c r="AW212" s="245"/>
      <c r="AX212" s="245"/>
      <c r="AY212" s="245"/>
      <c r="AZ212" s="245"/>
      <c r="BA212" s="245"/>
      <c r="BB212" s="245"/>
      <c r="BC212" s="245"/>
      <c r="BD212" s="245"/>
      <c r="BE212" s="245"/>
      <c r="BF212" s="245"/>
      <c r="BG212" s="245"/>
      <c r="BH212" s="245"/>
      <c r="BI212" s="245"/>
      <c r="BJ212" s="245"/>
      <c r="BK212" s="245"/>
      <c r="BL212" s="245"/>
      <c r="BM212" s="245"/>
      <c r="BN212" s="245"/>
      <c r="BO212" s="245"/>
      <c r="BP212" s="245"/>
      <c r="BQ212" s="245"/>
      <c r="BR212" s="245"/>
      <c r="BS212" s="245"/>
      <c r="BT212" s="245"/>
      <c r="BU212" s="245"/>
    </row>
    <row r="213" spans="2:73" x14ac:dyDescent="0.2">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45"/>
      <c r="AW213" s="245"/>
      <c r="AX213" s="245"/>
      <c r="AY213" s="245"/>
      <c r="AZ213" s="245"/>
      <c r="BA213" s="245"/>
      <c r="BB213" s="245"/>
      <c r="BC213" s="245"/>
      <c r="BD213" s="245"/>
      <c r="BE213" s="245"/>
      <c r="BF213" s="245"/>
      <c r="BG213" s="245"/>
      <c r="BH213" s="245"/>
      <c r="BI213" s="245"/>
      <c r="BJ213" s="245"/>
      <c r="BK213" s="245"/>
      <c r="BL213" s="245"/>
      <c r="BM213" s="245"/>
      <c r="BN213" s="245"/>
      <c r="BO213" s="245"/>
      <c r="BP213" s="245"/>
      <c r="BQ213" s="245"/>
      <c r="BR213" s="245"/>
      <c r="BS213" s="245"/>
      <c r="BT213" s="245"/>
      <c r="BU213" s="245"/>
    </row>
    <row r="214" spans="2:73" x14ac:dyDescent="0.2">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row>
    <row r="215" spans="2:73" x14ac:dyDescent="0.2">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row>
    <row r="216" spans="2:73" x14ac:dyDescent="0.2">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row>
    <row r="217" spans="2:73" x14ac:dyDescent="0.2">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45"/>
      <c r="BU217" s="245"/>
    </row>
    <row r="218" spans="2:73" x14ac:dyDescent="0.2">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c r="AV218" s="245"/>
      <c r="AW218" s="245"/>
      <c r="AX218" s="245"/>
      <c r="AY218" s="245"/>
      <c r="AZ218" s="245"/>
      <c r="BA218" s="245"/>
      <c r="BB218" s="245"/>
      <c r="BC218" s="245"/>
      <c r="BD218" s="245"/>
      <c r="BE218" s="245"/>
      <c r="BF218" s="245"/>
      <c r="BG218" s="245"/>
      <c r="BH218" s="245"/>
      <c r="BI218" s="245"/>
      <c r="BJ218" s="245"/>
      <c r="BK218" s="245"/>
      <c r="BL218" s="245"/>
      <c r="BM218" s="245"/>
      <c r="BN218" s="245"/>
      <c r="BO218" s="245"/>
      <c r="BP218" s="245"/>
      <c r="BQ218" s="245"/>
      <c r="BR218" s="245"/>
      <c r="BS218" s="245"/>
      <c r="BT218" s="245"/>
      <c r="BU218" s="245"/>
    </row>
    <row r="219" spans="2:73" x14ac:dyDescent="0.2">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5"/>
      <c r="BC219" s="245"/>
      <c r="BD219" s="245"/>
      <c r="BE219" s="245"/>
      <c r="BF219" s="245"/>
      <c r="BG219" s="245"/>
      <c r="BH219" s="245"/>
      <c r="BI219" s="245"/>
      <c r="BJ219" s="245"/>
      <c r="BK219" s="245"/>
      <c r="BL219" s="245"/>
      <c r="BM219" s="245"/>
      <c r="BN219" s="245"/>
      <c r="BO219" s="245"/>
      <c r="BP219" s="245"/>
      <c r="BQ219" s="245"/>
      <c r="BR219" s="245"/>
      <c r="BS219" s="245"/>
      <c r="BT219" s="245"/>
      <c r="BU219" s="245"/>
    </row>
    <row r="220" spans="2:73" x14ac:dyDescent="0.2">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c r="AV220" s="245"/>
      <c r="AW220" s="245"/>
      <c r="AX220" s="245"/>
      <c r="AY220" s="245"/>
      <c r="AZ220" s="245"/>
      <c r="BA220" s="245"/>
      <c r="BB220" s="245"/>
      <c r="BC220" s="245"/>
      <c r="BD220" s="245"/>
      <c r="BE220" s="245"/>
      <c r="BF220" s="245"/>
      <c r="BG220" s="245"/>
      <c r="BH220" s="245"/>
      <c r="BI220" s="245"/>
      <c r="BJ220" s="245"/>
      <c r="BK220" s="245"/>
      <c r="BL220" s="245"/>
      <c r="BM220" s="245"/>
      <c r="BN220" s="245"/>
      <c r="BO220" s="245"/>
      <c r="BP220" s="245"/>
      <c r="BQ220" s="245"/>
      <c r="BR220" s="245"/>
      <c r="BS220" s="245"/>
      <c r="BT220" s="245"/>
      <c r="BU220" s="245"/>
    </row>
    <row r="221" spans="2:73" x14ac:dyDescent="0.2">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c r="AV221" s="245"/>
      <c r="AW221" s="245"/>
      <c r="AX221" s="245"/>
      <c r="AY221" s="245"/>
      <c r="AZ221" s="245"/>
      <c r="BA221" s="245"/>
      <c r="BB221" s="245"/>
      <c r="BC221" s="245"/>
      <c r="BD221" s="245"/>
      <c r="BE221" s="245"/>
      <c r="BF221" s="245"/>
      <c r="BG221" s="245"/>
      <c r="BH221" s="245"/>
      <c r="BI221" s="245"/>
      <c r="BJ221" s="245"/>
      <c r="BK221" s="245"/>
      <c r="BL221" s="245"/>
      <c r="BM221" s="245"/>
      <c r="BN221" s="245"/>
      <c r="BO221" s="245"/>
      <c r="BP221" s="245"/>
      <c r="BQ221" s="245"/>
      <c r="BR221" s="245"/>
      <c r="BS221" s="245"/>
      <c r="BT221" s="245"/>
      <c r="BU221" s="245"/>
    </row>
    <row r="222" spans="2:73" x14ac:dyDescent="0.2">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c r="AV222" s="245"/>
      <c r="AW222" s="245"/>
      <c r="AX222" s="245"/>
      <c r="AY222" s="245"/>
      <c r="AZ222" s="245"/>
      <c r="BA222" s="245"/>
      <c r="BB222" s="245"/>
      <c r="BC222" s="245"/>
      <c r="BD222" s="245"/>
      <c r="BE222" s="245"/>
      <c r="BF222" s="245"/>
      <c r="BG222" s="245"/>
      <c r="BH222" s="245"/>
      <c r="BI222" s="245"/>
      <c r="BJ222" s="245"/>
      <c r="BK222" s="245"/>
      <c r="BL222" s="245"/>
      <c r="BM222" s="245"/>
      <c r="BN222" s="245"/>
      <c r="BO222" s="245"/>
      <c r="BP222" s="245"/>
      <c r="BQ222" s="245"/>
      <c r="BR222" s="245"/>
      <c r="BS222" s="245"/>
      <c r="BT222" s="245"/>
      <c r="BU222" s="245"/>
    </row>
    <row r="223" spans="2:73" x14ac:dyDescent="0.2">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45"/>
      <c r="AW223" s="245"/>
      <c r="AX223" s="245"/>
      <c r="AY223" s="245"/>
      <c r="AZ223" s="245"/>
      <c r="BA223" s="245"/>
      <c r="BB223" s="245"/>
      <c r="BC223" s="245"/>
      <c r="BD223" s="245"/>
      <c r="BE223" s="245"/>
      <c r="BF223" s="245"/>
      <c r="BG223" s="245"/>
      <c r="BH223" s="245"/>
      <c r="BI223" s="245"/>
      <c r="BJ223" s="245"/>
      <c r="BK223" s="245"/>
      <c r="BL223" s="245"/>
      <c r="BM223" s="245"/>
      <c r="BN223" s="245"/>
      <c r="BO223" s="245"/>
      <c r="BP223" s="245"/>
      <c r="BQ223" s="245"/>
      <c r="BR223" s="245"/>
      <c r="BS223" s="245"/>
      <c r="BT223" s="245"/>
      <c r="BU223" s="245"/>
    </row>
    <row r="224" spans="2:73" x14ac:dyDescent="0.2">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c r="BJ224" s="245"/>
      <c r="BK224" s="245"/>
      <c r="BL224" s="245"/>
      <c r="BM224" s="245"/>
      <c r="BN224" s="245"/>
      <c r="BO224" s="245"/>
      <c r="BP224" s="245"/>
      <c r="BQ224" s="245"/>
      <c r="BR224" s="245"/>
      <c r="BS224" s="245"/>
      <c r="BT224" s="245"/>
      <c r="BU224" s="245"/>
    </row>
    <row r="225" spans="2:73" x14ac:dyDescent="0.2">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c r="AS225" s="245"/>
      <c r="AT225" s="245"/>
      <c r="AU225" s="245"/>
      <c r="AV225" s="245"/>
      <c r="AW225" s="245"/>
      <c r="AX225" s="245"/>
      <c r="AY225" s="245"/>
      <c r="AZ225" s="245"/>
      <c r="BA225" s="245"/>
      <c r="BB225" s="245"/>
      <c r="BC225" s="245"/>
      <c r="BD225" s="245"/>
      <c r="BE225" s="245"/>
      <c r="BF225" s="245"/>
      <c r="BG225" s="245"/>
      <c r="BH225" s="245"/>
      <c r="BI225" s="245"/>
      <c r="BJ225" s="245"/>
      <c r="BK225" s="245"/>
      <c r="BL225" s="245"/>
      <c r="BM225" s="245"/>
      <c r="BN225" s="245"/>
      <c r="BO225" s="245"/>
      <c r="BP225" s="245"/>
      <c r="BQ225" s="245"/>
      <c r="BR225" s="245"/>
      <c r="BS225" s="245"/>
      <c r="BT225" s="245"/>
      <c r="BU225" s="245"/>
    </row>
    <row r="226" spans="2:73" x14ac:dyDescent="0.2">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c r="AA226" s="245"/>
      <c r="AB226" s="245"/>
      <c r="AC226" s="245"/>
      <c r="AD226" s="245"/>
      <c r="AE226" s="245"/>
      <c r="AF226" s="245"/>
      <c r="AG226" s="245"/>
      <c r="AH226" s="245"/>
      <c r="AI226" s="245"/>
    </row>
  </sheetData>
  <sheetProtection selectLockedCells="1" selectUnlockedCells="1"/>
  <mergeCells count="110">
    <mergeCell ref="BT4:BU4"/>
    <mergeCell ref="BT6:BU6"/>
    <mergeCell ref="BP3:BQ3"/>
    <mergeCell ref="BP4:BQ4"/>
    <mergeCell ref="BP6:BQ6"/>
    <mergeCell ref="BL3:BM3"/>
    <mergeCell ref="BL4:BM4"/>
    <mergeCell ref="BL6:BM6"/>
    <mergeCell ref="BN3:BO3"/>
    <mergeCell ref="BN4:BO4"/>
    <mergeCell ref="BN6:BO6"/>
    <mergeCell ref="BR3:BS3"/>
    <mergeCell ref="BR4:BS4"/>
    <mergeCell ref="BR6:BS6"/>
    <mergeCell ref="L3:M3"/>
    <mergeCell ref="AZ6:BA6"/>
    <mergeCell ref="BB4:BC4"/>
    <mergeCell ref="BB6:BC6"/>
    <mergeCell ref="BD4:BE4"/>
    <mergeCell ref="BD6:BE6"/>
    <mergeCell ref="BF4:BG4"/>
    <mergeCell ref="BF6:BG6"/>
    <mergeCell ref="BH4:BI4"/>
    <mergeCell ref="BH6:BI6"/>
    <mergeCell ref="P6:Q6"/>
    <mergeCell ref="AP3:AQ3"/>
    <mergeCell ref="AP4:AQ4"/>
    <mergeCell ref="AP6:AQ6"/>
    <mergeCell ref="Z3:AA3"/>
    <mergeCell ref="AB3:AC3"/>
    <mergeCell ref="AB6:AC6"/>
    <mergeCell ref="Z4:AA4"/>
    <mergeCell ref="AB4:AC4"/>
    <mergeCell ref="X4:Y4"/>
    <mergeCell ref="X6:Y6"/>
    <mergeCell ref="AD3:AE3"/>
    <mergeCell ref="AD6:AE6"/>
    <mergeCell ref="AD4:AE4"/>
    <mergeCell ref="H3:I3"/>
    <mergeCell ref="L6:M6"/>
    <mergeCell ref="H6:I6"/>
    <mergeCell ref="N6:O6"/>
    <mergeCell ref="R3:S3"/>
    <mergeCell ref="R4:S4"/>
    <mergeCell ref="R6:S6"/>
    <mergeCell ref="AJ3:AK3"/>
    <mergeCell ref="AJ6:AK6"/>
    <mergeCell ref="AJ4:AK4"/>
    <mergeCell ref="Z6:AA6"/>
    <mergeCell ref="V6:W6"/>
    <mergeCell ref="V4:W4"/>
    <mergeCell ref="AF3:AG3"/>
    <mergeCell ref="AF6:AG6"/>
    <mergeCell ref="AF4:AG4"/>
    <mergeCell ref="AH6:AI6"/>
    <mergeCell ref="AH4:AI4"/>
    <mergeCell ref="V3:W3"/>
    <mergeCell ref="AH3:AI3"/>
    <mergeCell ref="T3:U3"/>
    <mergeCell ref="T6:U6"/>
    <mergeCell ref="T4:U4"/>
    <mergeCell ref="J3:K3"/>
    <mergeCell ref="B6:C6"/>
    <mergeCell ref="D6:E6"/>
    <mergeCell ref="F6:G6"/>
    <mergeCell ref="J6:K6"/>
    <mergeCell ref="AL3:AM3"/>
    <mergeCell ref="AL4:AM4"/>
    <mergeCell ref="AL6:AM6"/>
    <mergeCell ref="AN3:AO3"/>
    <mergeCell ref="AN4:AO4"/>
    <mergeCell ref="AN6:AO6"/>
    <mergeCell ref="N4:O4"/>
    <mergeCell ref="P4:Q4"/>
    <mergeCell ref="B4:C4"/>
    <mergeCell ref="D4:E4"/>
    <mergeCell ref="F4:G4"/>
    <mergeCell ref="H4:I4"/>
    <mergeCell ref="J4:K4"/>
    <mergeCell ref="L4:M4"/>
    <mergeCell ref="N3:O3"/>
    <mergeCell ref="P3:Q3"/>
    <mergeCell ref="B3:C3"/>
    <mergeCell ref="D3:E3"/>
    <mergeCell ref="F3:G3"/>
    <mergeCell ref="X3:Y3"/>
    <mergeCell ref="BV3:BW4"/>
    <mergeCell ref="AV4:AW4"/>
    <mergeCell ref="AV6:AW6"/>
    <mergeCell ref="AR3:AS3"/>
    <mergeCell ref="AR4:AS4"/>
    <mergeCell ref="AR6:AS6"/>
    <mergeCell ref="AT3:AU3"/>
    <mergeCell ref="AT4:AU4"/>
    <mergeCell ref="AT6:AU6"/>
    <mergeCell ref="BV6:BW6"/>
    <mergeCell ref="AV3:AW3"/>
    <mergeCell ref="BH3:BI3"/>
    <mergeCell ref="BJ3:BK3"/>
    <mergeCell ref="BJ4:BK4"/>
    <mergeCell ref="BJ6:BK6"/>
    <mergeCell ref="AX3:AY3"/>
    <mergeCell ref="AZ3:BA3"/>
    <mergeCell ref="BB3:BC3"/>
    <mergeCell ref="BD3:BE3"/>
    <mergeCell ref="BF3:BG3"/>
    <mergeCell ref="AX4:AY4"/>
    <mergeCell ref="AX6:AY6"/>
    <mergeCell ref="AZ4:BA4"/>
    <mergeCell ref="BT3:BU3"/>
  </mergeCells>
  <printOptions horizontalCentered="1" verticalCentered="1"/>
  <pageMargins left="0.39370078740157483" right="0.39370078740157483" top="0" bottom="0" header="0" footer="0"/>
  <pageSetup paperSize="45" scale="70"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K44"/>
  <sheetViews>
    <sheetView zoomScaleNormal="100" zoomScaleSheetLayoutView="120" workbookViewId="0">
      <selection activeCell="A2" sqref="A2:E2"/>
    </sheetView>
  </sheetViews>
  <sheetFormatPr baseColWidth="10" defaultColWidth="11.42578125" defaultRowHeight="12" x14ac:dyDescent="0.2"/>
  <cols>
    <col min="1" max="1" width="35.7109375" style="2" customWidth="1"/>
    <col min="2" max="2" width="13.140625" style="70" customWidth="1"/>
    <col min="3" max="3" width="14" style="70" customWidth="1"/>
    <col min="4" max="4" width="17.85546875" style="70" customWidth="1"/>
    <col min="5" max="5" width="16.5703125" style="70" customWidth="1"/>
    <col min="6" max="6" width="4.140625" style="17" customWidth="1"/>
    <col min="7" max="7" width="21.140625" style="17" customWidth="1"/>
    <col min="8" max="63" width="11.42578125" style="17"/>
    <col min="64" max="16384" width="11.42578125" style="2"/>
  </cols>
  <sheetData>
    <row r="1" spans="1:49" s="17" customFormat="1" x14ac:dyDescent="0.2">
      <c r="A1" s="17" t="s">
        <v>22</v>
      </c>
      <c r="AV1" s="148"/>
      <c r="AW1" s="148"/>
    </row>
    <row r="2" spans="1:49" ht="29.25" customHeight="1" x14ac:dyDescent="0.2">
      <c r="A2" s="322" t="s">
        <v>5</v>
      </c>
      <c r="B2" s="323"/>
      <c r="C2" s="323"/>
      <c r="D2" s="323"/>
      <c r="E2" s="323"/>
      <c r="AV2" s="148"/>
      <c r="AW2" s="148"/>
    </row>
    <row r="3" spans="1:49" s="17" customFormat="1" x14ac:dyDescent="0.2">
      <c r="A3" s="324"/>
      <c r="B3" s="324"/>
      <c r="C3" s="324"/>
      <c r="D3" s="324"/>
      <c r="E3" s="324"/>
      <c r="AV3" s="148"/>
      <c r="AW3" s="148"/>
    </row>
    <row r="4" spans="1:49" ht="22.5" customHeight="1" x14ac:dyDescent="0.2">
      <c r="A4" s="320" t="s">
        <v>23</v>
      </c>
      <c r="B4" s="321" t="s">
        <v>24</v>
      </c>
      <c r="C4" s="321"/>
      <c r="D4" s="321" t="s">
        <v>25</v>
      </c>
      <c r="E4" s="321"/>
      <c r="AV4" s="148"/>
      <c r="AW4" s="148"/>
    </row>
    <row r="5" spans="1:49" ht="28.5" customHeight="1" x14ac:dyDescent="0.2">
      <c r="A5" s="320"/>
      <c r="B5" s="1" t="s">
        <v>26</v>
      </c>
      <c r="C5" s="1" t="s">
        <v>27</v>
      </c>
      <c r="D5" s="1" t="s">
        <v>28</v>
      </c>
      <c r="E5" s="1" t="s">
        <v>29</v>
      </c>
    </row>
    <row r="6" spans="1:49" ht="27" customHeight="1" x14ac:dyDescent="0.2">
      <c r="A6" s="66" t="s">
        <v>30</v>
      </c>
      <c r="B6" s="67">
        <v>9</v>
      </c>
      <c r="C6" s="68">
        <f>+B6/$B$9</f>
        <v>0.16666666666666666</v>
      </c>
      <c r="D6" s="67">
        <v>8</v>
      </c>
      <c r="E6" s="68">
        <f>+D6/B6</f>
        <v>0.88888888888888884</v>
      </c>
    </row>
    <row r="7" spans="1:49" ht="21.75" customHeight="1" x14ac:dyDescent="0.2">
      <c r="A7" s="67" t="s">
        <v>31</v>
      </c>
      <c r="B7" s="67">
        <v>6</v>
      </c>
      <c r="C7" s="68">
        <f>+B7/$B$9</f>
        <v>0.1111111111111111</v>
      </c>
      <c r="D7" s="67">
        <v>6</v>
      </c>
      <c r="E7" s="68">
        <f>+D7/B7</f>
        <v>1</v>
      </c>
    </row>
    <row r="8" spans="1:49" ht="28.5" customHeight="1" x14ac:dyDescent="0.2">
      <c r="A8" s="67" t="s">
        <v>32</v>
      </c>
      <c r="B8" s="67">
        <v>39</v>
      </c>
      <c r="C8" s="68">
        <f>+B8/$B$9</f>
        <v>0.72222222222222221</v>
      </c>
      <c r="D8" s="67">
        <f>+B8-5</f>
        <v>34</v>
      </c>
      <c r="E8" s="68">
        <f>+D8/B8</f>
        <v>0.87179487179487181</v>
      </c>
    </row>
    <row r="9" spans="1:49" ht="29.25" customHeight="1" x14ac:dyDescent="0.2">
      <c r="A9" s="1" t="s">
        <v>33</v>
      </c>
      <c r="B9" s="1">
        <f>SUM(B6:B8)</f>
        <v>54</v>
      </c>
      <c r="C9" s="69">
        <f>SUM(C6:C8)</f>
        <v>1</v>
      </c>
      <c r="D9" s="1">
        <f>SUM(D6:D8)</f>
        <v>48</v>
      </c>
      <c r="E9" s="69">
        <f>+D9/B9</f>
        <v>0.88888888888888884</v>
      </c>
    </row>
    <row r="10" spans="1:49" s="80" customFormat="1" x14ac:dyDescent="0.2">
      <c r="B10" s="149"/>
      <c r="C10" s="149"/>
      <c r="D10" s="149"/>
      <c r="E10" s="149"/>
    </row>
    <row r="11" spans="1:49" s="80" customFormat="1" ht="15" customHeight="1" x14ac:dyDescent="0.2">
      <c r="B11" s="149"/>
      <c r="C11" s="149"/>
      <c r="D11" s="149"/>
      <c r="E11" s="149"/>
    </row>
    <row r="12" spans="1:49" s="17" customFormat="1" ht="14.45" customHeight="1" x14ac:dyDescent="0.2">
      <c r="B12" s="85"/>
      <c r="C12" s="85"/>
      <c r="D12" s="85"/>
      <c r="E12" s="85"/>
    </row>
    <row r="13" spans="1:49" s="17" customFormat="1" x14ac:dyDescent="0.2">
      <c r="B13" s="85"/>
      <c r="C13" s="85"/>
      <c r="D13" s="85"/>
      <c r="E13" s="85"/>
    </row>
    <row r="14" spans="1:49" s="17" customFormat="1" x14ac:dyDescent="0.2">
      <c r="B14" s="85"/>
      <c r="C14" s="85"/>
      <c r="D14" s="85"/>
      <c r="E14" s="85"/>
    </row>
    <row r="15" spans="1:49" s="17" customFormat="1" x14ac:dyDescent="0.2">
      <c r="B15" s="85"/>
      <c r="C15" s="85"/>
      <c r="D15" s="85"/>
      <c r="E15" s="85"/>
    </row>
    <row r="16" spans="1:49" s="17" customFormat="1" x14ac:dyDescent="0.2">
      <c r="B16" s="85"/>
      <c r="C16" s="85"/>
      <c r="D16" s="85"/>
      <c r="E16" s="85"/>
    </row>
    <row r="17" spans="2:5" s="17" customFormat="1" x14ac:dyDescent="0.2">
      <c r="B17" s="85"/>
      <c r="C17" s="85"/>
      <c r="D17" s="85"/>
      <c r="E17" s="85"/>
    </row>
    <row r="18" spans="2:5" s="17" customFormat="1" x14ac:dyDescent="0.2">
      <c r="B18" s="85"/>
      <c r="C18" s="85"/>
      <c r="D18" s="85"/>
      <c r="E18" s="85"/>
    </row>
    <row r="19" spans="2:5" s="17" customFormat="1" x14ac:dyDescent="0.2">
      <c r="B19" s="85"/>
      <c r="C19" s="85"/>
      <c r="D19" s="85"/>
      <c r="E19" s="85"/>
    </row>
    <row r="20" spans="2:5" s="17" customFormat="1" x14ac:dyDescent="0.2">
      <c r="B20" s="85"/>
      <c r="C20" s="85"/>
      <c r="D20" s="85"/>
      <c r="E20" s="85"/>
    </row>
    <row r="21" spans="2:5" s="17" customFormat="1" x14ac:dyDescent="0.2">
      <c r="B21" s="85"/>
      <c r="C21" s="85"/>
      <c r="D21" s="85"/>
      <c r="E21" s="85"/>
    </row>
    <row r="22" spans="2:5" s="17" customFormat="1" x14ac:dyDescent="0.2">
      <c r="B22" s="85"/>
      <c r="C22" s="85"/>
      <c r="D22" s="85"/>
      <c r="E22" s="85"/>
    </row>
    <row r="23" spans="2:5" s="17" customFormat="1" x14ac:dyDescent="0.2">
      <c r="B23" s="85"/>
      <c r="C23" s="85"/>
      <c r="D23" s="85"/>
      <c r="E23" s="85"/>
    </row>
    <row r="24" spans="2:5" s="17" customFormat="1" x14ac:dyDescent="0.2">
      <c r="B24" s="85"/>
      <c r="C24" s="85"/>
      <c r="D24" s="85"/>
      <c r="E24" s="85"/>
    </row>
    <row r="25" spans="2:5" s="17" customFormat="1" x14ac:dyDescent="0.2">
      <c r="B25" s="85"/>
      <c r="C25" s="85"/>
      <c r="D25" s="85"/>
      <c r="E25" s="85"/>
    </row>
    <row r="26" spans="2:5" s="17" customFormat="1" x14ac:dyDescent="0.2">
      <c r="B26" s="85"/>
      <c r="C26" s="85"/>
      <c r="D26" s="85"/>
      <c r="E26" s="85"/>
    </row>
    <row r="27" spans="2:5" s="17" customFormat="1" x14ac:dyDescent="0.2">
      <c r="B27" s="85"/>
      <c r="C27" s="85"/>
      <c r="D27" s="85"/>
      <c r="E27" s="85"/>
    </row>
    <row r="28" spans="2:5" s="17" customFormat="1" x14ac:dyDescent="0.2">
      <c r="B28" s="85"/>
      <c r="C28" s="85"/>
      <c r="D28" s="85"/>
      <c r="E28" s="85"/>
    </row>
    <row r="29" spans="2:5" s="17" customFormat="1" x14ac:dyDescent="0.2">
      <c r="B29" s="85"/>
      <c r="C29" s="85"/>
      <c r="D29" s="85"/>
      <c r="E29" s="85"/>
    </row>
    <row r="30" spans="2:5" s="17" customFormat="1" x14ac:dyDescent="0.2">
      <c r="B30" s="85"/>
      <c r="C30" s="85"/>
      <c r="D30" s="85"/>
      <c r="E30" s="85"/>
    </row>
    <row r="31" spans="2:5" s="17" customFormat="1" x14ac:dyDescent="0.2">
      <c r="B31" s="85"/>
      <c r="C31" s="85"/>
      <c r="D31" s="85"/>
      <c r="E31" s="85"/>
    </row>
    <row r="32" spans="2:5" s="17" customFormat="1" x14ac:dyDescent="0.2">
      <c r="B32" s="85"/>
      <c r="C32" s="85"/>
      <c r="D32" s="85"/>
      <c r="E32" s="85"/>
    </row>
    <row r="33" spans="2:5" s="17" customFormat="1" x14ac:dyDescent="0.2">
      <c r="B33" s="85"/>
      <c r="C33" s="85"/>
      <c r="D33" s="85"/>
      <c r="E33" s="85"/>
    </row>
    <row r="34" spans="2:5" s="17" customFormat="1" x14ac:dyDescent="0.2">
      <c r="B34" s="85"/>
      <c r="C34" s="85"/>
      <c r="D34" s="85"/>
      <c r="E34" s="85"/>
    </row>
    <row r="35" spans="2:5" s="17" customFormat="1" x14ac:dyDescent="0.2">
      <c r="B35" s="85"/>
      <c r="C35" s="85"/>
      <c r="D35" s="85"/>
      <c r="E35" s="85"/>
    </row>
    <row r="36" spans="2:5" s="17" customFormat="1" x14ac:dyDescent="0.2">
      <c r="B36" s="85"/>
      <c r="C36" s="85"/>
      <c r="D36" s="85"/>
      <c r="E36" s="85"/>
    </row>
    <row r="37" spans="2:5" s="17" customFormat="1" x14ac:dyDescent="0.2">
      <c r="B37" s="85"/>
      <c r="C37" s="85"/>
      <c r="D37" s="85"/>
      <c r="E37" s="85"/>
    </row>
    <row r="38" spans="2:5" s="17" customFormat="1" x14ac:dyDescent="0.2">
      <c r="B38" s="85"/>
      <c r="C38" s="85"/>
      <c r="D38" s="85"/>
      <c r="E38" s="85"/>
    </row>
    <row r="39" spans="2:5" s="17" customFormat="1" x14ac:dyDescent="0.2">
      <c r="B39" s="85"/>
      <c r="C39" s="85"/>
      <c r="D39" s="85"/>
      <c r="E39" s="85"/>
    </row>
    <row r="40" spans="2:5" s="17" customFormat="1" x14ac:dyDescent="0.2">
      <c r="B40" s="85"/>
      <c r="C40" s="85"/>
      <c r="D40" s="85"/>
      <c r="E40" s="85"/>
    </row>
    <row r="41" spans="2:5" s="17" customFormat="1" x14ac:dyDescent="0.2">
      <c r="B41" s="85"/>
      <c r="C41" s="85"/>
      <c r="D41" s="85"/>
      <c r="E41" s="85"/>
    </row>
    <row r="42" spans="2:5" s="17" customFormat="1" x14ac:dyDescent="0.2">
      <c r="B42" s="85"/>
      <c r="C42" s="85"/>
      <c r="D42" s="85"/>
      <c r="E42" s="85"/>
    </row>
    <row r="43" spans="2:5" s="17" customFormat="1" x14ac:dyDescent="0.2">
      <c r="B43" s="85"/>
      <c r="C43" s="85"/>
      <c r="D43" s="85"/>
      <c r="E43" s="85"/>
    </row>
    <row r="44" spans="2:5" s="17" customFormat="1" x14ac:dyDescent="0.2">
      <c r="B44" s="85"/>
      <c r="C44" s="85"/>
      <c r="D44" s="85"/>
      <c r="E44" s="85"/>
    </row>
  </sheetData>
  <mergeCells count="5">
    <mergeCell ref="A4:A5"/>
    <mergeCell ref="B4:C4"/>
    <mergeCell ref="D4:E4"/>
    <mergeCell ref="A2:E2"/>
    <mergeCell ref="A3:E3"/>
  </mergeCells>
  <phoneticPr fontId="0" type="noConversion"/>
  <pageMargins left="1.5748031496062993" right="0.78740157480314965" top="1.5748031496062993" bottom="0.78740157480314965" header="0" footer="0"/>
  <pageSetup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theme="3" tint="-0.249977111117893"/>
  </sheetPr>
  <dimension ref="A1:CN257"/>
  <sheetViews>
    <sheetView showGridLines="0" zoomScaleNormal="100" workbookViewId="0">
      <pane xSplit="3" ySplit="5" topLeftCell="H6" activePane="bottomRight" state="frozen"/>
      <selection pane="topRight" activeCell="D1" sqref="D1"/>
      <selection pane="bottomLeft" activeCell="A6" sqref="A6"/>
      <selection pane="bottomRight" activeCell="H4" sqref="H4:I4"/>
    </sheetView>
  </sheetViews>
  <sheetFormatPr baseColWidth="10" defaultColWidth="15" defaultRowHeight="12" x14ac:dyDescent="0.2"/>
  <cols>
    <col min="1" max="1" width="51.42578125" style="109" customWidth="1"/>
    <col min="2" max="2" width="17.7109375" style="9" bestFit="1" customWidth="1"/>
    <col min="3" max="3" width="21.85546875" style="9" customWidth="1"/>
    <col min="4" max="4" width="17.42578125" style="9" customWidth="1"/>
    <col min="5" max="5" width="18.42578125" style="9" customWidth="1"/>
    <col min="6" max="6" width="17.42578125" style="9" customWidth="1"/>
    <col min="7" max="7" width="18" style="9" customWidth="1"/>
    <col min="8" max="8" width="19" style="9" customWidth="1"/>
    <col min="9" max="9" width="20" style="9" customWidth="1"/>
    <col min="10" max="10" width="18.42578125" style="9" customWidth="1"/>
    <col min="11" max="11" width="16.42578125" style="9" customWidth="1"/>
    <col min="12" max="12" width="19.28515625" style="9" customWidth="1"/>
    <col min="13" max="13" width="20.7109375" style="9" customWidth="1"/>
    <col min="14" max="14" width="15.85546875" style="9" customWidth="1"/>
    <col min="15" max="15" width="17.42578125" style="9" customWidth="1"/>
    <col min="16" max="16" width="8.28515625" style="9" bestFit="1" customWidth="1"/>
    <col min="17" max="16384" width="15" style="9"/>
  </cols>
  <sheetData>
    <row r="1" spans="1:91" s="79" customFormat="1" ht="27" customHeight="1" x14ac:dyDescent="0.2">
      <c r="A1" s="79" t="s">
        <v>111</v>
      </c>
      <c r="BT1" s="10"/>
      <c r="BU1" s="10"/>
    </row>
    <row r="2" spans="1:91" ht="23.1" customHeight="1" x14ac:dyDescent="0.2">
      <c r="A2" s="373" t="s">
        <v>15</v>
      </c>
      <c r="B2" s="374"/>
      <c r="C2" s="374"/>
      <c r="D2" s="374"/>
      <c r="E2" s="374"/>
      <c r="F2" s="374"/>
      <c r="G2" s="374"/>
      <c r="H2" s="374"/>
      <c r="I2" s="374"/>
      <c r="J2" s="374"/>
      <c r="K2" s="374"/>
      <c r="L2" s="374"/>
      <c r="M2" s="374"/>
      <c r="N2" s="374"/>
      <c r="O2" s="375"/>
      <c r="BT2" s="8"/>
      <c r="BU2" s="8"/>
    </row>
    <row r="3" spans="1:91" s="79" customFormat="1" ht="27.75" customHeight="1" x14ac:dyDescent="0.2">
      <c r="A3" s="79" t="s">
        <v>35</v>
      </c>
      <c r="BT3" s="10"/>
      <c r="BU3" s="10"/>
    </row>
    <row r="4" spans="1:91" s="104" customFormat="1" ht="40.5" customHeight="1" x14ac:dyDescent="0.2">
      <c r="A4" s="329" t="s">
        <v>36</v>
      </c>
      <c r="B4" s="382" t="s">
        <v>92</v>
      </c>
      <c r="C4" s="380"/>
      <c r="D4" s="380" t="s">
        <v>112</v>
      </c>
      <c r="E4" s="380"/>
      <c r="F4" s="380" t="s">
        <v>113</v>
      </c>
      <c r="G4" s="380"/>
      <c r="H4" s="383" t="s">
        <v>114</v>
      </c>
      <c r="I4" s="383"/>
      <c r="J4" s="383" t="s">
        <v>115</v>
      </c>
      <c r="K4" s="383"/>
      <c r="L4" s="380" t="s">
        <v>116</v>
      </c>
      <c r="M4" s="380"/>
      <c r="N4" s="380" t="s">
        <v>117</v>
      </c>
      <c r="O4" s="380"/>
      <c r="P4" s="372"/>
      <c r="Q4" s="372"/>
      <c r="R4" s="372"/>
      <c r="S4" s="372"/>
      <c r="T4" s="372"/>
      <c r="U4" s="372"/>
      <c r="V4" s="377"/>
      <c r="W4" s="377"/>
      <c r="X4" s="372"/>
      <c r="Y4" s="372"/>
      <c r="Z4" s="377"/>
      <c r="AA4" s="377"/>
      <c r="AB4" s="378"/>
      <c r="AC4" s="378"/>
      <c r="AD4" s="372"/>
      <c r="AE4" s="372"/>
      <c r="AF4" s="372"/>
      <c r="AG4" s="372"/>
      <c r="AH4" s="376"/>
      <c r="AI4" s="376"/>
      <c r="AJ4" s="372"/>
      <c r="AK4" s="372"/>
      <c r="AL4" s="376"/>
      <c r="AM4" s="376"/>
      <c r="AN4" s="372"/>
      <c r="AO4" s="372"/>
      <c r="AP4" s="372"/>
      <c r="AQ4" s="372"/>
      <c r="AR4" s="372"/>
      <c r="AS4" s="372"/>
      <c r="AT4" s="372"/>
      <c r="AU4" s="372"/>
      <c r="AV4" s="372"/>
      <c r="AW4" s="372"/>
      <c r="AX4" s="372"/>
      <c r="AY4" s="372"/>
      <c r="AZ4" s="372"/>
      <c r="BA4" s="372"/>
      <c r="BB4" s="376"/>
      <c r="BC4" s="376"/>
      <c r="BD4" s="372"/>
      <c r="BE4" s="372"/>
      <c r="BF4" s="376"/>
      <c r="BG4" s="376"/>
      <c r="BH4" s="372"/>
      <c r="BI4" s="372"/>
      <c r="BJ4" s="372"/>
      <c r="BK4" s="372"/>
      <c r="BL4" s="372"/>
      <c r="BM4" s="372"/>
      <c r="BN4" s="372"/>
      <c r="BO4" s="372"/>
      <c r="BP4" s="372"/>
      <c r="BQ4" s="372"/>
      <c r="BR4" s="376"/>
      <c r="BS4" s="376"/>
      <c r="BT4" s="372"/>
      <c r="BU4" s="372"/>
      <c r="BV4" s="372"/>
      <c r="BW4" s="372"/>
      <c r="BX4" s="372"/>
      <c r="BY4" s="372"/>
      <c r="BZ4" s="372"/>
      <c r="CA4" s="372"/>
      <c r="CB4" s="372"/>
      <c r="CC4" s="372"/>
      <c r="CD4" s="372"/>
      <c r="CE4" s="372"/>
      <c r="CF4" s="372"/>
      <c r="CG4" s="372"/>
      <c r="CH4" s="372"/>
      <c r="CI4" s="372"/>
      <c r="CJ4" s="372"/>
      <c r="CK4" s="372"/>
      <c r="CL4" s="372"/>
      <c r="CM4" s="372"/>
    </row>
    <row r="5" spans="1:91" s="104" customFormat="1" ht="20.25" customHeight="1" x14ac:dyDescent="0.2">
      <c r="A5" s="381"/>
      <c r="B5" s="138">
        <v>2021</v>
      </c>
      <c r="C5" s="139">
        <v>2022</v>
      </c>
      <c r="D5" s="139">
        <v>2021</v>
      </c>
      <c r="E5" s="139">
        <v>2022</v>
      </c>
      <c r="F5" s="139">
        <v>2021</v>
      </c>
      <c r="G5" s="139">
        <v>2022</v>
      </c>
      <c r="H5" s="139">
        <v>2021</v>
      </c>
      <c r="I5" s="139">
        <v>2022</v>
      </c>
      <c r="J5" s="139">
        <v>2021</v>
      </c>
      <c r="K5" s="139">
        <v>2022</v>
      </c>
      <c r="L5" s="139">
        <v>2021</v>
      </c>
      <c r="M5" s="139">
        <v>2022</v>
      </c>
      <c r="N5" s="139">
        <v>2021</v>
      </c>
      <c r="O5" s="139">
        <v>2022</v>
      </c>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row>
    <row r="6" spans="1:91" s="106" customFormat="1" ht="19.5" customHeight="1" x14ac:dyDescent="0.2">
      <c r="A6" s="121" t="s">
        <v>118</v>
      </c>
      <c r="B6" s="65"/>
      <c r="C6" s="65"/>
      <c r="D6" s="65"/>
      <c r="E6" s="65"/>
      <c r="F6" s="65"/>
      <c r="G6" s="65"/>
      <c r="H6" s="65"/>
      <c r="I6" s="65"/>
      <c r="J6" s="65"/>
      <c r="K6" s="65"/>
      <c r="L6" s="65"/>
      <c r="M6" s="65"/>
      <c r="N6" s="65"/>
      <c r="O6" s="65"/>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row>
    <row r="7" spans="1:91" s="106" customFormat="1" ht="19.5" customHeight="1" x14ac:dyDescent="0.2">
      <c r="A7" s="140" t="s">
        <v>40</v>
      </c>
      <c r="B7" s="65"/>
      <c r="C7" s="65"/>
      <c r="D7" s="65"/>
      <c r="E7" s="65"/>
      <c r="F7" s="65"/>
      <c r="G7" s="65"/>
      <c r="H7" s="65"/>
      <c r="I7" s="65"/>
      <c r="J7" s="65"/>
      <c r="K7" s="65"/>
      <c r="L7" s="195"/>
      <c r="M7" s="195"/>
      <c r="N7" s="65"/>
      <c r="O7" s="65"/>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row>
    <row r="8" spans="1:91" ht="19.5" customHeight="1" x14ac:dyDescent="0.2">
      <c r="A8" s="82" t="s">
        <v>41</v>
      </c>
      <c r="B8" s="191">
        <f>+D8+F8+H8+J8+L8+N8</f>
        <v>105013716962</v>
      </c>
      <c r="C8" s="191">
        <f>+E8+G8+I8+K8+M8+O8</f>
        <v>96505957309</v>
      </c>
      <c r="D8" s="191">
        <v>53695125179</v>
      </c>
      <c r="E8" s="191">
        <v>32670695494</v>
      </c>
      <c r="F8" s="191">
        <v>3246723512</v>
      </c>
      <c r="G8" s="191">
        <v>5529238894</v>
      </c>
      <c r="H8" s="191">
        <v>12080158900</v>
      </c>
      <c r="I8" s="191">
        <v>18014805186</v>
      </c>
      <c r="J8" s="191">
        <v>1437916450</v>
      </c>
      <c r="K8" s="191">
        <v>2528323057</v>
      </c>
      <c r="L8" s="191">
        <v>32736437156</v>
      </c>
      <c r="M8" s="191">
        <v>36695673598</v>
      </c>
      <c r="N8" s="191">
        <v>1817355765</v>
      </c>
      <c r="O8" s="191">
        <v>1067221080</v>
      </c>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row>
    <row r="9" spans="1:91" ht="19.5" customHeight="1" x14ac:dyDescent="0.2">
      <c r="A9" s="82" t="s">
        <v>42</v>
      </c>
      <c r="B9" s="191">
        <f>+D9+F9+H9+J9+L9+N9</f>
        <v>104900874077</v>
      </c>
      <c r="C9" s="191">
        <f>+E9+G9+I9+K9+M9+O9</f>
        <v>112739789819</v>
      </c>
      <c r="D9" s="191">
        <f>6476409483+1</f>
        <v>6476409484</v>
      </c>
      <c r="E9" s="191">
        <v>5733852179</v>
      </c>
      <c r="F9" s="191">
        <v>7954793048</v>
      </c>
      <c r="G9" s="191">
        <v>6439669105</v>
      </c>
      <c r="H9" s="191">
        <v>31317198741</v>
      </c>
      <c r="I9" s="191">
        <v>39607641642</v>
      </c>
      <c r="J9" s="191">
        <v>478376423</v>
      </c>
      <c r="K9" s="191">
        <v>536910300</v>
      </c>
      <c r="L9" s="191">
        <v>57845661099</v>
      </c>
      <c r="M9" s="191">
        <v>58824592796</v>
      </c>
      <c r="N9" s="191">
        <v>828435282</v>
      </c>
      <c r="O9" s="191">
        <v>1597123797</v>
      </c>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row>
    <row r="10" spans="1:91" s="106" customFormat="1" ht="19.5" customHeight="1" x14ac:dyDescent="0.2">
      <c r="A10" s="42" t="s">
        <v>43</v>
      </c>
      <c r="B10" s="196">
        <f>+B8+B9</f>
        <v>209914591039</v>
      </c>
      <c r="C10" s="196">
        <f>+C8+C9</f>
        <v>209245747128</v>
      </c>
      <c r="D10" s="196">
        <f t="shared" ref="D10:O10" si="0">+D8+D9</f>
        <v>60171534663</v>
      </c>
      <c r="E10" s="196">
        <f t="shared" si="0"/>
        <v>38404547673</v>
      </c>
      <c r="F10" s="196">
        <f t="shared" si="0"/>
        <v>11201516560</v>
      </c>
      <c r="G10" s="196">
        <f t="shared" si="0"/>
        <v>11968907999</v>
      </c>
      <c r="H10" s="196">
        <f t="shared" si="0"/>
        <v>43397357641</v>
      </c>
      <c r="I10" s="196">
        <f t="shared" si="0"/>
        <v>57622446828</v>
      </c>
      <c r="J10" s="196">
        <f t="shared" si="0"/>
        <v>1916292873</v>
      </c>
      <c r="K10" s="196">
        <f t="shared" si="0"/>
        <v>3065233357</v>
      </c>
      <c r="L10" s="196">
        <f>+L8+L9</f>
        <v>90582098255</v>
      </c>
      <c r="M10" s="196">
        <f>+M8+M9</f>
        <v>95520266394</v>
      </c>
      <c r="N10" s="196">
        <f t="shared" si="0"/>
        <v>2645791047</v>
      </c>
      <c r="O10" s="196">
        <f t="shared" si="0"/>
        <v>2664344877</v>
      </c>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row>
    <row r="11" spans="1:91" ht="19.5" customHeight="1" x14ac:dyDescent="0.2">
      <c r="A11" s="140" t="s">
        <v>44</v>
      </c>
      <c r="B11" s="191"/>
      <c r="C11" s="191"/>
      <c r="D11" s="191"/>
      <c r="E11" s="191"/>
      <c r="F11" s="191"/>
      <c r="G11" s="191"/>
      <c r="H11" s="191"/>
      <c r="I11" s="191"/>
      <c r="J11" s="191"/>
      <c r="K11" s="191"/>
      <c r="L11" s="191"/>
      <c r="M11" s="191"/>
      <c r="N11" s="191"/>
      <c r="O11" s="191"/>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row>
    <row r="12" spans="1:91" ht="19.5" customHeight="1" x14ac:dyDescent="0.2">
      <c r="A12" s="82" t="s">
        <v>45</v>
      </c>
      <c r="B12" s="191">
        <f>+D12+F12+H12+J12+L12+N12</f>
        <v>91609771670</v>
      </c>
      <c r="C12" s="191">
        <f>+E12+G12+I12+K12+M12+O12</f>
        <v>101982188592</v>
      </c>
      <c r="D12" s="191">
        <v>45236739842</v>
      </c>
      <c r="E12" s="191">
        <v>21028443758</v>
      </c>
      <c r="F12" s="191">
        <v>3116668925</v>
      </c>
      <c r="G12" s="191">
        <v>4535216182</v>
      </c>
      <c r="H12" s="191">
        <v>12444196251</v>
      </c>
      <c r="I12" s="191">
        <v>14760698442</v>
      </c>
      <c r="J12" s="191">
        <v>1422891555</v>
      </c>
      <c r="K12" s="191">
        <v>2531986508</v>
      </c>
      <c r="L12" s="191">
        <v>27763106824</v>
      </c>
      <c r="M12" s="191">
        <v>58338687076</v>
      </c>
      <c r="N12" s="191">
        <v>1626168273</v>
      </c>
      <c r="O12" s="191">
        <v>787156626</v>
      </c>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row>
    <row r="13" spans="1:91" ht="19.5" customHeight="1" x14ac:dyDescent="0.2">
      <c r="A13" s="141" t="s">
        <v>46</v>
      </c>
      <c r="B13" s="191">
        <f>+D13+F13+H13+J13+L13+N13</f>
        <v>38937647783</v>
      </c>
      <c r="C13" s="191">
        <f>+E13+G13+I13+K13+M13+O13</f>
        <v>48068194531</v>
      </c>
      <c r="D13" s="191">
        <v>1878903569</v>
      </c>
      <c r="E13" s="191">
        <v>574310843</v>
      </c>
      <c r="F13" s="191">
        <v>6540339941</v>
      </c>
      <c r="G13" s="191">
        <v>6557836671</v>
      </c>
      <c r="H13" s="191">
        <v>22529703815</v>
      </c>
      <c r="I13" s="191">
        <v>34114268820</v>
      </c>
      <c r="J13" s="191">
        <v>925178</v>
      </c>
      <c r="K13" s="191">
        <v>1199975</v>
      </c>
      <c r="L13" s="191">
        <v>7726955952</v>
      </c>
      <c r="M13" s="191">
        <v>6033537866</v>
      </c>
      <c r="N13" s="191">
        <v>260819328</v>
      </c>
      <c r="O13" s="191">
        <v>787040356</v>
      </c>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row>
    <row r="14" spans="1:91" s="106" customFormat="1" ht="19.5" customHeight="1" x14ac:dyDescent="0.2">
      <c r="A14" s="42" t="s">
        <v>47</v>
      </c>
      <c r="B14" s="196">
        <f>+B12+B13</f>
        <v>130547419453</v>
      </c>
      <c r="C14" s="196">
        <f>+C12+C13</f>
        <v>150050383123</v>
      </c>
      <c r="D14" s="196">
        <f t="shared" ref="D14:O14" si="1">+D12+D13</f>
        <v>47115643411</v>
      </c>
      <c r="E14" s="196">
        <f t="shared" si="1"/>
        <v>21602754601</v>
      </c>
      <c r="F14" s="196">
        <f t="shared" si="1"/>
        <v>9657008866</v>
      </c>
      <c r="G14" s="196">
        <f t="shared" si="1"/>
        <v>11093052853</v>
      </c>
      <c r="H14" s="196">
        <f t="shared" si="1"/>
        <v>34973900066</v>
      </c>
      <c r="I14" s="196">
        <f t="shared" si="1"/>
        <v>48874967262</v>
      </c>
      <c r="J14" s="196">
        <f t="shared" si="1"/>
        <v>1423816733</v>
      </c>
      <c r="K14" s="196">
        <f t="shared" si="1"/>
        <v>2533186483</v>
      </c>
      <c r="L14" s="196">
        <f>+L12+L13</f>
        <v>35490062776</v>
      </c>
      <c r="M14" s="196">
        <f>+M12+M13</f>
        <v>64372224942</v>
      </c>
      <c r="N14" s="196">
        <f t="shared" si="1"/>
        <v>1886987601</v>
      </c>
      <c r="O14" s="196">
        <f t="shared" si="1"/>
        <v>1574196982</v>
      </c>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row>
    <row r="15" spans="1:91" ht="19.5" customHeight="1" x14ac:dyDescent="0.2">
      <c r="A15" s="140" t="s">
        <v>48</v>
      </c>
      <c r="B15" s="191"/>
      <c r="C15" s="191"/>
      <c r="D15" s="191"/>
      <c r="E15" s="191"/>
      <c r="F15" s="191"/>
      <c r="G15" s="191"/>
      <c r="H15" s="191"/>
      <c r="I15" s="191"/>
      <c r="J15" s="191"/>
      <c r="K15" s="191"/>
      <c r="L15" s="191"/>
      <c r="M15" s="191"/>
      <c r="N15" s="191"/>
      <c r="O15" s="191"/>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row>
    <row r="16" spans="1:91" ht="19.5" customHeight="1" x14ac:dyDescent="0.2">
      <c r="A16" s="82" t="s">
        <v>49</v>
      </c>
      <c r="B16" s="191">
        <f>+D16+F16+H16+J16+L16+N16</f>
        <v>21636311086</v>
      </c>
      <c r="C16" s="191">
        <f>+E16+G16+I16+K16+M16+O16</f>
        <v>21636311086</v>
      </c>
      <c r="D16" s="191">
        <v>2300000000</v>
      </c>
      <c r="E16" s="191">
        <v>2300000000</v>
      </c>
      <c r="F16" s="191">
        <v>209000000</v>
      </c>
      <c r="G16" s="191">
        <v>209000000</v>
      </c>
      <c r="H16" s="191">
        <v>6000000000</v>
      </c>
      <c r="I16" s="191">
        <v>6000000000</v>
      </c>
      <c r="J16" s="191">
        <v>1861785</v>
      </c>
      <c r="K16" s="191">
        <v>1861785</v>
      </c>
      <c r="L16" s="191">
        <v>12942608000</v>
      </c>
      <c r="M16" s="191">
        <v>12942608000</v>
      </c>
      <c r="N16" s="191">
        <v>182841301</v>
      </c>
      <c r="O16" s="191">
        <v>182841301</v>
      </c>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row>
    <row r="17" spans="1:91" ht="19.5" customHeight="1" x14ac:dyDescent="0.2">
      <c r="A17" s="82" t="s">
        <v>50</v>
      </c>
      <c r="B17" s="191">
        <f t="shared" ref="B17:B25" si="2">+D17+F17+H17+J17+L17+N17</f>
        <v>11631093562</v>
      </c>
      <c r="C17" s="191">
        <f t="shared" ref="C17:C25" si="3">+E17+G17+I17+K17+M17+O17</f>
        <v>12315871144</v>
      </c>
      <c r="D17" s="191">
        <v>1022290162</v>
      </c>
      <c r="E17" s="191">
        <v>1315882741</v>
      </c>
      <c r="F17" s="191">
        <v>174651250</v>
      </c>
      <c r="G17" s="191">
        <v>174651250</v>
      </c>
      <c r="H17" s="191">
        <v>94054947</v>
      </c>
      <c r="I17" s="191">
        <v>124791456</v>
      </c>
      <c r="J17" s="191">
        <v>1116065</v>
      </c>
      <c r="K17" s="191">
        <v>1116065</v>
      </c>
      <c r="L17" s="191">
        <v>10273360366</v>
      </c>
      <c r="M17" s="191">
        <v>10633808860</v>
      </c>
      <c r="N17" s="191">
        <v>65620772</v>
      </c>
      <c r="O17" s="191">
        <v>65620772</v>
      </c>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row>
    <row r="18" spans="1:91" ht="19.5" customHeight="1" x14ac:dyDescent="0.2">
      <c r="A18" s="82" t="s">
        <v>51</v>
      </c>
      <c r="B18" s="191">
        <f t="shared" si="2"/>
        <v>444310567</v>
      </c>
      <c r="C18" s="191">
        <f t="shared" si="3"/>
        <v>739148520</v>
      </c>
      <c r="D18" s="191"/>
      <c r="E18" s="191"/>
      <c r="F18" s="191"/>
      <c r="G18" s="191"/>
      <c r="H18" s="191"/>
      <c r="I18" s="191"/>
      <c r="J18" s="191">
        <v>39471973</v>
      </c>
      <c r="K18" s="191">
        <v>120585832</v>
      </c>
      <c r="L18" s="191"/>
      <c r="M18" s="191"/>
      <c r="N18" s="191">
        <v>404838594</v>
      </c>
      <c r="O18" s="191">
        <v>618562688</v>
      </c>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row>
    <row r="19" spans="1:91" ht="19.5" customHeight="1" x14ac:dyDescent="0.2">
      <c r="A19" s="82" t="s">
        <v>52</v>
      </c>
      <c r="B19" s="191">
        <f t="shared" si="2"/>
        <v>8713829770</v>
      </c>
      <c r="C19" s="191">
        <f t="shared" si="3"/>
        <v>8713829770</v>
      </c>
      <c r="D19" s="191"/>
      <c r="E19" s="191"/>
      <c r="F19" s="191"/>
      <c r="G19" s="191"/>
      <c r="H19" s="191"/>
      <c r="I19" s="191"/>
      <c r="J19" s="191">
        <v>689124740</v>
      </c>
      <c r="K19" s="191">
        <v>689124740</v>
      </c>
      <c r="L19" s="191">
        <v>8000000000</v>
      </c>
      <c r="M19" s="191">
        <v>8000000000</v>
      </c>
      <c r="N19" s="191">
        <v>24705030</v>
      </c>
      <c r="O19" s="191">
        <v>24705030</v>
      </c>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row>
    <row r="20" spans="1:91" ht="19.5" customHeight="1" x14ac:dyDescent="0.2">
      <c r="A20" s="82" t="s">
        <v>53</v>
      </c>
      <c r="B20" s="191">
        <f t="shared" si="2"/>
        <v>77906</v>
      </c>
      <c r="C20" s="191">
        <f t="shared" si="3"/>
        <v>77906</v>
      </c>
      <c r="D20" s="191"/>
      <c r="E20" s="191"/>
      <c r="F20" s="191"/>
      <c r="G20" s="191"/>
      <c r="H20" s="191">
        <v>77906</v>
      </c>
      <c r="I20" s="191">
        <v>77906</v>
      </c>
      <c r="J20" s="191"/>
      <c r="K20" s="191"/>
      <c r="L20" s="191"/>
      <c r="M20" s="191"/>
      <c r="N20" s="191"/>
      <c r="O20" s="191"/>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row>
    <row r="21" spans="1:91" ht="19.5" customHeight="1" x14ac:dyDescent="0.2">
      <c r="A21" s="82" t="s">
        <v>54</v>
      </c>
      <c r="B21" s="191">
        <f t="shared" si="2"/>
        <v>2183101802</v>
      </c>
      <c r="C21" s="191">
        <f t="shared" si="3"/>
        <v>-19897476039</v>
      </c>
      <c r="D21" s="191">
        <v>2935925788</v>
      </c>
      <c r="E21" s="191">
        <f t="shared" ref="E21:K21" si="4">+E36</f>
        <v>3745901820</v>
      </c>
      <c r="F21" s="45">
        <f t="shared" si="4"/>
        <v>-390616305</v>
      </c>
      <c r="G21" s="45">
        <f t="shared" si="4"/>
        <v>-668652550</v>
      </c>
      <c r="H21" s="191">
        <f t="shared" si="4"/>
        <v>307365160</v>
      </c>
      <c r="I21" s="191">
        <f t="shared" si="4"/>
        <v>324021992</v>
      </c>
      <c r="J21" s="45">
        <f t="shared" si="4"/>
        <v>-196816574</v>
      </c>
      <c r="K21" s="45">
        <f t="shared" si="4"/>
        <v>-41510513</v>
      </c>
      <c r="L21" s="191">
        <v>4484940</v>
      </c>
      <c r="M21" s="191">
        <v>-23381106067</v>
      </c>
      <c r="N21" s="45">
        <f>+N36</f>
        <v>-477241207</v>
      </c>
      <c r="O21" s="191">
        <f>+O36</f>
        <v>123869279</v>
      </c>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row>
    <row r="22" spans="1:91" ht="19.5" customHeight="1" x14ac:dyDescent="0.2">
      <c r="A22" s="82" t="s">
        <v>55</v>
      </c>
      <c r="B22" s="191">
        <f t="shared" si="2"/>
        <v>34229964251</v>
      </c>
      <c r="C22" s="191">
        <f t="shared" si="3"/>
        <v>35165367900</v>
      </c>
      <c r="D22" s="191">
        <v>7401628704</v>
      </c>
      <c r="E22" s="191">
        <v>10043961913</v>
      </c>
      <c r="F22" s="191">
        <v>1338772749</v>
      </c>
      <c r="G22" s="191">
        <v>948156446</v>
      </c>
      <c r="H22" s="191">
        <v>1095397722</v>
      </c>
      <c r="I22" s="191">
        <v>1372026372</v>
      </c>
      <c r="J22" s="45">
        <v>-42281849</v>
      </c>
      <c r="K22" s="45">
        <v>-239131035</v>
      </c>
      <c r="L22" s="191">
        <v>23871582173</v>
      </c>
      <c r="M22" s="191">
        <v>22952730659</v>
      </c>
      <c r="N22" s="191">
        <v>564864752</v>
      </c>
      <c r="O22" s="191">
        <v>87623545</v>
      </c>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row>
    <row r="23" spans="1:91" ht="19.5" customHeight="1" x14ac:dyDescent="0.2">
      <c r="A23" s="82" t="s">
        <v>56</v>
      </c>
      <c r="B23" s="191">
        <f t="shared" si="2"/>
        <v>352596044</v>
      </c>
      <c r="C23" s="191">
        <f t="shared" si="3"/>
        <v>352596044</v>
      </c>
      <c r="D23" s="45">
        <v>-573965796</v>
      </c>
      <c r="E23" s="45">
        <v>-573965796</v>
      </c>
      <c r="F23" s="191"/>
      <c r="G23" s="191"/>
      <c r="H23" s="191">
        <v>926561840</v>
      </c>
      <c r="I23" s="191">
        <v>926561840</v>
      </c>
      <c r="J23" s="191"/>
      <c r="K23" s="191"/>
      <c r="L23" s="191"/>
      <c r="M23" s="191"/>
      <c r="N23" s="191"/>
      <c r="O23" s="191"/>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row>
    <row r="24" spans="1:91" s="109" customFormat="1" ht="19.5" customHeight="1" x14ac:dyDescent="0.2">
      <c r="A24" s="82" t="s">
        <v>57</v>
      </c>
      <c r="B24" s="191">
        <f t="shared" si="2"/>
        <v>212700000</v>
      </c>
      <c r="C24" s="191">
        <f t="shared" si="3"/>
        <v>212700000</v>
      </c>
      <c r="D24" s="191"/>
      <c r="E24" s="191"/>
      <c r="F24" s="191">
        <v>212700000</v>
      </c>
      <c r="G24" s="191">
        <v>212700000</v>
      </c>
      <c r="H24" s="191"/>
      <c r="I24" s="191"/>
      <c r="J24" s="191"/>
      <c r="K24" s="191"/>
      <c r="L24" s="191"/>
      <c r="M24" s="191"/>
      <c r="N24" s="191"/>
      <c r="O24" s="191"/>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row>
    <row r="25" spans="1:91" s="109" customFormat="1" ht="19.5" customHeight="1" x14ac:dyDescent="0.2">
      <c r="A25" s="82" t="s">
        <v>58</v>
      </c>
      <c r="B25" s="191">
        <f t="shared" si="2"/>
        <v>-36813402</v>
      </c>
      <c r="C25" s="191">
        <f t="shared" si="3"/>
        <v>-43062326</v>
      </c>
      <c r="D25" s="45">
        <v>-29987606</v>
      </c>
      <c r="E25" s="45">
        <v>-29987606</v>
      </c>
      <c r="F25" s="191"/>
      <c r="G25" s="191"/>
      <c r="H25" s="191"/>
      <c r="I25" s="191"/>
      <c r="J25" s="191"/>
      <c r="K25" s="191"/>
      <c r="L25" s="191"/>
      <c r="M25" s="191"/>
      <c r="N25" s="45">
        <v>-6825796</v>
      </c>
      <c r="O25" s="45">
        <v>-13074720</v>
      </c>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row>
    <row r="26" spans="1:91" s="104" customFormat="1" ht="19.5" customHeight="1" x14ac:dyDescent="0.2">
      <c r="A26" s="42" t="s">
        <v>59</v>
      </c>
      <c r="B26" s="192">
        <f>SUM(B16:B25)</f>
        <v>79367171586</v>
      </c>
      <c r="C26" s="192">
        <f>SUM(C16:C25)</f>
        <v>59195364005</v>
      </c>
      <c r="D26" s="192">
        <f t="shared" ref="D26:O26" si="5">SUM(D16:D25)</f>
        <v>13055891252</v>
      </c>
      <c r="E26" s="192">
        <f t="shared" si="5"/>
        <v>16801793072</v>
      </c>
      <c r="F26" s="192">
        <f t="shared" si="5"/>
        <v>1544507694</v>
      </c>
      <c r="G26" s="192">
        <f t="shared" si="5"/>
        <v>875855146</v>
      </c>
      <c r="H26" s="192">
        <f t="shared" si="5"/>
        <v>8423457575</v>
      </c>
      <c r="I26" s="192">
        <f t="shared" si="5"/>
        <v>8747479566</v>
      </c>
      <c r="J26" s="192">
        <f t="shared" si="5"/>
        <v>492476140</v>
      </c>
      <c r="K26" s="192">
        <f t="shared" si="5"/>
        <v>532046874</v>
      </c>
      <c r="L26" s="192">
        <f t="shared" si="5"/>
        <v>55092035479</v>
      </c>
      <c r="M26" s="192">
        <f t="shared" si="5"/>
        <v>31148041452</v>
      </c>
      <c r="N26" s="192">
        <f t="shared" si="5"/>
        <v>758803446</v>
      </c>
      <c r="O26" s="192">
        <f t="shared" si="5"/>
        <v>1090147895</v>
      </c>
      <c r="P26" s="108"/>
      <c r="Q26" s="110"/>
      <c r="R26" s="110"/>
      <c r="S26" s="110"/>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row>
    <row r="27" spans="1:91" s="104" customFormat="1" ht="19.5" customHeight="1" x14ac:dyDescent="0.2">
      <c r="A27" s="42" t="s">
        <v>60</v>
      </c>
      <c r="B27" s="192">
        <f>+B26+B14</f>
        <v>209914591039</v>
      </c>
      <c r="C27" s="192">
        <f>+C26+C14</f>
        <v>209245747128</v>
      </c>
      <c r="D27" s="192">
        <f t="shared" ref="D27:O27" si="6">+D26+D14</f>
        <v>60171534663</v>
      </c>
      <c r="E27" s="192">
        <f t="shared" si="6"/>
        <v>38404547673</v>
      </c>
      <c r="F27" s="192">
        <f t="shared" si="6"/>
        <v>11201516560</v>
      </c>
      <c r="G27" s="192">
        <f t="shared" si="6"/>
        <v>11968907999</v>
      </c>
      <c r="H27" s="192">
        <f t="shared" si="6"/>
        <v>43397357641</v>
      </c>
      <c r="I27" s="192">
        <f t="shared" si="6"/>
        <v>57622446828</v>
      </c>
      <c r="J27" s="192">
        <f t="shared" si="6"/>
        <v>1916292873</v>
      </c>
      <c r="K27" s="192">
        <f t="shared" si="6"/>
        <v>3065233357</v>
      </c>
      <c r="L27" s="192">
        <f t="shared" si="6"/>
        <v>90582098255</v>
      </c>
      <c r="M27" s="192">
        <f>+M26+M14</f>
        <v>95520266394</v>
      </c>
      <c r="N27" s="192">
        <f t="shared" si="6"/>
        <v>2645791047</v>
      </c>
      <c r="O27" s="192">
        <f t="shared" si="6"/>
        <v>2664344877</v>
      </c>
      <c r="P27" s="111"/>
      <c r="Q27" s="111"/>
      <c r="R27" s="111"/>
      <c r="S27" s="110"/>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row>
    <row r="28" spans="1:91" s="109" customFormat="1" ht="19.5" customHeight="1" x14ac:dyDescent="0.2">
      <c r="A28" s="38" t="s">
        <v>61</v>
      </c>
      <c r="B28" s="191">
        <f t="shared" ref="B28:C30" si="7">+D28+F28+H28+J28+L28+N28</f>
        <v>396520794719</v>
      </c>
      <c r="C28" s="191">
        <f t="shared" si="7"/>
        <v>467860490015</v>
      </c>
      <c r="D28" s="191">
        <v>147448105619</v>
      </c>
      <c r="E28" s="191">
        <v>179917257011</v>
      </c>
      <c r="F28" s="191">
        <v>4734597900</v>
      </c>
      <c r="G28" s="191">
        <v>4614815500</v>
      </c>
      <c r="H28" s="191">
        <v>117509288055</v>
      </c>
      <c r="I28" s="191">
        <v>171108867747</v>
      </c>
      <c r="J28" s="191">
        <v>558012956</v>
      </c>
      <c r="K28" s="191">
        <v>1078982352</v>
      </c>
      <c r="L28" s="191">
        <v>124349633530</v>
      </c>
      <c r="M28" s="191">
        <v>108592732549</v>
      </c>
      <c r="N28" s="191">
        <v>1921156659</v>
      </c>
      <c r="O28" s="191">
        <v>2547834856</v>
      </c>
      <c r="P28" s="111"/>
      <c r="Q28" s="112"/>
      <c r="R28" s="112"/>
      <c r="S28" s="112"/>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row>
    <row r="29" spans="1:91" s="109" customFormat="1" ht="19.5" customHeight="1" x14ac:dyDescent="0.2">
      <c r="A29" s="38" t="s">
        <v>62</v>
      </c>
      <c r="B29" s="191">
        <f t="shared" si="7"/>
        <v>365396724203</v>
      </c>
      <c r="C29" s="191">
        <f t="shared" si="7"/>
        <v>454713488740</v>
      </c>
      <c r="D29" s="191">
        <v>137838481526</v>
      </c>
      <c r="E29" s="191">
        <v>169793783636</v>
      </c>
      <c r="F29" s="191">
        <v>5496906445</v>
      </c>
      <c r="G29" s="191">
        <v>5195393251</v>
      </c>
      <c r="H29" s="191">
        <v>110479630530</v>
      </c>
      <c r="I29" s="191">
        <v>161567262560</v>
      </c>
      <c r="J29" s="45">
        <v>538345521</v>
      </c>
      <c r="K29" s="45">
        <f>1040304753</f>
        <v>1040304753</v>
      </c>
      <c r="L29" s="191">
        <v>111043360181</v>
      </c>
      <c r="M29" s="191">
        <v>117116744540</v>
      </c>
      <c r="N29" s="191"/>
      <c r="O29" s="191"/>
      <c r="P29" s="111"/>
      <c r="Q29" s="112"/>
      <c r="R29" s="112"/>
      <c r="S29" s="11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row>
    <row r="30" spans="1:91" s="109" customFormat="1" ht="19.5" customHeight="1" x14ac:dyDescent="0.2">
      <c r="A30" s="36" t="s">
        <v>63</v>
      </c>
      <c r="B30" s="191">
        <f t="shared" si="7"/>
        <v>23645509476</v>
      </c>
      <c r="C30" s="191">
        <f t="shared" si="7"/>
        <v>27800129833</v>
      </c>
      <c r="D30" s="191">
        <v>5794679880</v>
      </c>
      <c r="E30" s="191">
        <v>6227599480</v>
      </c>
      <c r="F30" s="191"/>
      <c r="G30" s="191"/>
      <c r="H30" s="191">
        <v>5293441355</v>
      </c>
      <c r="I30" s="191">
        <v>7697325222</v>
      </c>
      <c r="J30" s="191">
        <f>7668837+11250893+15480193</f>
        <v>34399923</v>
      </c>
      <c r="K30" s="191">
        <f>6155618+17649612+20363959</f>
        <v>44169189</v>
      </c>
      <c r="L30" s="191">
        <f>9061457163+1355850204</f>
        <v>10417307367</v>
      </c>
      <c r="M30" s="191">
        <f>10201864101+1280498996</f>
        <v>11482363097</v>
      </c>
      <c r="N30" s="191">
        <v>2105680951</v>
      </c>
      <c r="O30" s="191">
        <v>2348672845</v>
      </c>
      <c r="P30" s="108"/>
      <c r="Q30" s="108"/>
      <c r="R30" s="112"/>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row>
    <row r="31" spans="1:91" s="104" customFormat="1" ht="19.5" customHeight="1" x14ac:dyDescent="0.2">
      <c r="A31" s="42" t="s">
        <v>64</v>
      </c>
      <c r="B31" s="192">
        <f>+B28-B29-B30</f>
        <v>7478561040</v>
      </c>
      <c r="C31" s="192">
        <f>+C28-C29-C30</f>
        <v>-14653128558</v>
      </c>
      <c r="D31" s="192">
        <f t="shared" ref="D31:O31" si="8">+D28-D29-D30</f>
        <v>3814944213</v>
      </c>
      <c r="E31" s="192">
        <f t="shared" si="8"/>
        <v>3895873895</v>
      </c>
      <c r="F31" s="48">
        <f t="shared" si="8"/>
        <v>-762308545</v>
      </c>
      <c r="G31" s="48">
        <f>+G28-G29-G30</f>
        <v>-580577751</v>
      </c>
      <c r="H31" s="192">
        <f t="shared" si="8"/>
        <v>1736216170</v>
      </c>
      <c r="I31" s="192">
        <f t="shared" si="8"/>
        <v>1844279965</v>
      </c>
      <c r="J31" s="192">
        <f t="shared" si="8"/>
        <v>-14732488</v>
      </c>
      <c r="K31" s="192">
        <f>+K28-K29-K30</f>
        <v>-5491590</v>
      </c>
      <c r="L31" s="192">
        <f t="shared" si="8"/>
        <v>2888965982</v>
      </c>
      <c r="M31" s="192">
        <f t="shared" si="8"/>
        <v>-20006375088</v>
      </c>
      <c r="N31" s="48">
        <f t="shared" si="8"/>
        <v>-184524292</v>
      </c>
      <c r="O31" s="192">
        <f t="shared" si="8"/>
        <v>199162011</v>
      </c>
      <c r="P31" s="111"/>
      <c r="Q31" s="111"/>
      <c r="R31" s="111"/>
      <c r="S31" s="110"/>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row>
    <row r="32" spans="1:91" s="109" customFormat="1" ht="19.5" customHeight="1" x14ac:dyDescent="0.2">
      <c r="A32" s="36" t="s">
        <v>65</v>
      </c>
      <c r="B32" s="191">
        <f t="shared" ref="B32:C36" si="9">+D32+F32+H32+J32+L32+N32</f>
        <v>6180059803</v>
      </c>
      <c r="C32" s="191">
        <f t="shared" si="9"/>
        <v>16180728613</v>
      </c>
      <c r="D32" s="181">
        <f>91457887+149807154+52173213</f>
        <v>293438254</v>
      </c>
      <c r="E32" s="181">
        <f>1979421581+1395817194+10219505</f>
        <v>3385458280</v>
      </c>
      <c r="F32" s="181">
        <v>2727320197</v>
      </c>
      <c r="G32" s="181">
        <v>756198363</v>
      </c>
      <c r="H32" s="181">
        <f>667687517+216362173</f>
        <v>884049690</v>
      </c>
      <c r="I32" s="181">
        <f>1569197242+592331398</f>
        <v>2161528640</v>
      </c>
      <c r="J32" s="181">
        <f>35765+2792899</f>
        <v>2828664</v>
      </c>
      <c r="K32" s="181">
        <f>25651</f>
        <v>25651</v>
      </c>
      <c r="L32" s="191">
        <f>1986493795+184795589</f>
        <v>2171289384</v>
      </c>
      <c r="M32" s="191">
        <f>4407012673+5423575096</f>
        <v>9830587769</v>
      </c>
      <c r="N32" s="181">
        <f>819808+46167172+54146634</f>
        <v>101133614</v>
      </c>
      <c r="O32" s="181">
        <f>1984989+44944921</f>
        <v>46929910</v>
      </c>
      <c r="P32" s="111"/>
      <c r="Q32" s="108"/>
      <c r="R32" s="112"/>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row>
    <row r="33" spans="1:91" s="109" customFormat="1" ht="19.5" customHeight="1" x14ac:dyDescent="0.2">
      <c r="A33" s="36" t="s">
        <v>66</v>
      </c>
      <c r="B33" s="191">
        <f t="shared" si="9"/>
        <v>8593076917</v>
      </c>
      <c r="C33" s="191">
        <f t="shared" si="9"/>
        <v>17605248506</v>
      </c>
      <c r="D33" s="181">
        <f>129674911+48129051</f>
        <v>177803962</v>
      </c>
      <c r="E33" s="45">
        <f>334784019+4841588</f>
        <v>339625607</v>
      </c>
      <c r="F33" s="191">
        <f>525548128+1830079829</f>
        <v>2355627957</v>
      </c>
      <c r="G33" s="191">
        <f>702128695+142144466</f>
        <v>844273161</v>
      </c>
      <c r="H33" s="191">
        <f>2270578156+79244086</f>
        <v>2349822242</v>
      </c>
      <c r="I33" s="191">
        <f>2958655762+252542534</f>
        <v>3211198296</v>
      </c>
      <c r="J33" s="181">
        <f>855579+201173728</f>
        <v>202029307</v>
      </c>
      <c r="K33" s="191">
        <f>1291773+24672214+3740433</f>
        <v>29704420</v>
      </c>
      <c r="L33" s="191">
        <f>2408849388+820715036</f>
        <v>3229564424</v>
      </c>
      <c r="M33" s="191">
        <f>10010363329+3046976041</f>
        <v>13057339370</v>
      </c>
      <c r="N33" s="191">
        <f>71638104+206590921</f>
        <v>278229025</v>
      </c>
      <c r="O33" s="191">
        <f>115811543+7296109</f>
        <v>123107652</v>
      </c>
      <c r="P33" s="111"/>
      <c r="Q33" s="108"/>
      <c r="R33" s="112"/>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row>
    <row r="34" spans="1:91" s="104" customFormat="1" ht="19.5" customHeight="1" x14ac:dyDescent="0.2">
      <c r="A34" s="121" t="s">
        <v>67</v>
      </c>
      <c r="B34" s="193">
        <f t="shared" si="9"/>
        <v>5065543926</v>
      </c>
      <c r="C34" s="193">
        <f t="shared" si="9"/>
        <v>-16077648451</v>
      </c>
      <c r="D34" s="193">
        <f t="shared" ref="D34:O34" si="10">+D31+D32-D33</f>
        <v>3930578505</v>
      </c>
      <c r="E34" s="193">
        <f t="shared" si="10"/>
        <v>6941706568</v>
      </c>
      <c r="F34" s="193">
        <f t="shared" si="10"/>
        <v>-390616305</v>
      </c>
      <c r="G34" s="193">
        <f t="shared" si="10"/>
        <v>-668652549</v>
      </c>
      <c r="H34" s="193">
        <f t="shared" si="10"/>
        <v>270443618</v>
      </c>
      <c r="I34" s="193">
        <f t="shared" si="10"/>
        <v>794610309</v>
      </c>
      <c r="J34" s="193">
        <f t="shared" si="10"/>
        <v>-213933131</v>
      </c>
      <c r="K34" s="193">
        <f t="shared" si="10"/>
        <v>-35170359</v>
      </c>
      <c r="L34" s="193">
        <f t="shared" si="10"/>
        <v>1830690942</v>
      </c>
      <c r="M34" s="193">
        <f t="shared" si="10"/>
        <v>-23233126689</v>
      </c>
      <c r="N34" s="193">
        <f t="shared" si="10"/>
        <v>-361619703</v>
      </c>
      <c r="O34" s="193">
        <f t="shared" si="10"/>
        <v>122984269</v>
      </c>
      <c r="P34" s="111"/>
      <c r="Q34" s="111"/>
      <c r="R34" s="110"/>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row>
    <row r="35" spans="1:91" s="109" customFormat="1" ht="19.5" customHeight="1" x14ac:dyDescent="0.2">
      <c r="A35" s="82" t="s">
        <v>68</v>
      </c>
      <c r="B35" s="191">
        <f t="shared" si="9"/>
        <v>-2534704093</v>
      </c>
      <c r="C35" s="191">
        <f t="shared" si="9"/>
        <v>-2686984964</v>
      </c>
      <c r="D35" s="45">
        <v>-994652696</v>
      </c>
      <c r="E35" s="45">
        <v>-3195805749</v>
      </c>
      <c r="F35" s="194">
        <v>0</v>
      </c>
      <c r="G35" s="194">
        <v>0</v>
      </c>
      <c r="H35" s="191">
        <v>153416542</v>
      </c>
      <c r="I35" s="191">
        <v>649575000</v>
      </c>
      <c r="J35" s="191">
        <v>17116557</v>
      </c>
      <c r="K35" s="191">
        <v>6340154</v>
      </c>
      <c r="L35" s="191">
        <v>-1826206000</v>
      </c>
      <c r="M35" s="191">
        <v>-147979379</v>
      </c>
      <c r="N35" s="191">
        <f>102854597+12766907</f>
        <v>115621504</v>
      </c>
      <c r="O35" s="191">
        <v>885010</v>
      </c>
      <c r="P35" s="111"/>
      <c r="Q35" s="108"/>
      <c r="R35" s="112"/>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row>
    <row r="36" spans="1:91" s="109" customFormat="1" ht="19.5" customHeight="1" x14ac:dyDescent="0.2">
      <c r="A36" s="81" t="s">
        <v>69</v>
      </c>
      <c r="B36" s="192">
        <f t="shared" si="9"/>
        <v>2183101804</v>
      </c>
      <c r="C36" s="48">
        <f t="shared" si="9"/>
        <v>-19897476040</v>
      </c>
      <c r="D36" s="192">
        <v>2935925788</v>
      </c>
      <c r="E36" s="48">
        <v>3745901820</v>
      </c>
      <c r="F36" s="135">
        <v>-390616305</v>
      </c>
      <c r="G36" s="135">
        <v>-668652550</v>
      </c>
      <c r="H36" s="192">
        <v>307365160</v>
      </c>
      <c r="I36" s="48">
        <v>324021992</v>
      </c>
      <c r="J36" s="192">
        <f>+J34+J35</f>
        <v>-196816574</v>
      </c>
      <c r="K36" s="48">
        <v>-41510513</v>
      </c>
      <c r="L36" s="192">
        <f>+L34+L35</f>
        <v>4484942</v>
      </c>
      <c r="M36" s="192">
        <f>+M34+M35</f>
        <v>-23381106068</v>
      </c>
      <c r="N36" s="48">
        <v>-477241207</v>
      </c>
      <c r="O36" s="48">
        <v>123869279</v>
      </c>
    </row>
    <row r="37" spans="1:91" ht="19.5" customHeight="1" x14ac:dyDescent="0.2">
      <c r="B37" s="113"/>
      <c r="C37" s="113"/>
      <c r="D37" s="113"/>
      <c r="E37" s="113"/>
      <c r="F37" s="113"/>
      <c r="G37" s="113"/>
      <c r="H37" s="113"/>
      <c r="I37" s="113"/>
      <c r="J37" s="113"/>
      <c r="K37" s="113"/>
      <c r="L37" s="113"/>
      <c r="M37" s="113"/>
      <c r="N37" s="113"/>
      <c r="O37" s="113"/>
      <c r="P37" s="114"/>
      <c r="Q37" s="114"/>
      <c r="R37" s="114"/>
      <c r="S37" s="114"/>
      <c r="T37" s="114"/>
      <c r="U37" s="114"/>
      <c r="V37" s="114"/>
      <c r="W37" s="114"/>
      <c r="X37" s="114"/>
      <c r="Y37" s="114"/>
      <c r="Z37" s="114"/>
      <c r="AA37" s="114"/>
    </row>
    <row r="38" spans="1:91" ht="12" customHeight="1" x14ac:dyDescent="0.2">
      <c r="A38" s="379" t="s">
        <v>119</v>
      </c>
      <c r="B38" s="113" t="str">
        <f>IF((B10-B14)=B26,"Ok","Revisar")</f>
        <v>Ok</v>
      </c>
      <c r="C38" s="113" t="str">
        <f>IF((C10-C14)=C26,"Ok","Revisar")</f>
        <v>Ok</v>
      </c>
      <c r="D38" s="113" t="str">
        <f>IF((D10-D14)=D26,"Ok","Revisar")</f>
        <v>Ok</v>
      </c>
      <c r="E38" s="113" t="str">
        <f>IF((E10-E14)=E26,"Ok","Revisar")</f>
        <v>Ok</v>
      </c>
      <c r="F38" s="113" t="str">
        <f>IF((F10-F14)=F26,"Ok","Revisar")</f>
        <v>Ok</v>
      </c>
      <c r="G38" s="113" t="str">
        <f>IF(ROUND((G10-G14),0)=G26,"Ok","Revisar")</f>
        <v>Ok</v>
      </c>
      <c r="H38" s="113" t="str">
        <f t="shared" ref="H38:O38" si="11">IF((H10-H14)=H26,"Ok","Revisar")</f>
        <v>Ok</v>
      </c>
      <c r="I38" s="113" t="str">
        <f t="shared" si="11"/>
        <v>Ok</v>
      </c>
      <c r="J38" s="113" t="str">
        <f t="shared" si="11"/>
        <v>Ok</v>
      </c>
      <c r="K38" s="113" t="str">
        <f t="shared" si="11"/>
        <v>Ok</v>
      </c>
      <c r="L38" s="113" t="str">
        <f>IF((L10-L14)=L26,"Ok","Revisar")</f>
        <v>Ok</v>
      </c>
      <c r="M38" s="113" t="str">
        <f>IF((M10-M14)=M26,"Ok","Revisar")</f>
        <v>Ok</v>
      </c>
      <c r="N38" s="113" t="str">
        <f t="shared" si="11"/>
        <v>Ok</v>
      </c>
      <c r="O38" s="113" t="str">
        <f t="shared" si="11"/>
        <v>Ok</v>
      </c>
      <c r="P38" s="114"/>
      <c r="Q38" s="114"/>
      <c r="R38" s="114"/>
      <c r="S38" s="114"/>
      <c r="T38" s="114"/>
      <c r="U38" s="114"/>
      <c r="V38" s="114"/>
      <c r="W38" s="114"/>
      <c r="X38" s="114"/>
      <c r="Y38" s="114"/>
      <c r="Z38" s="114"/>
      <c r="AA38" s="114"/>
    </row>
    <row r="39" spans="1:91" x14ac:dyDescent="0.2">
      <c r="A39" s="379"/>
      <c r="B39" s="113">
        <f t="shared" ref="B39:O39" si="12">+B10-B27</f>
        <v>0</v>
      </c>
      <c r="C39" s="113">
        <f t="shared" si="12"/>
        <v>0</v>
      </c>
      <c r="D39" s="113">
        <f t="shared" si="12"/>
        <v>0</v>
      </c>
      <c r="E39" s="113">
        <f t="shared" si="12"/>
        <v>0</v>
      </c>
      <c r="F39" s="113">
        <f t="shared" si="12"/>
        <v>0</v>
      </c>
      <c r="G39" s="113">
        <f t="shared" si="12"/>
        <v>0</v>
      </c>
      <c r="H39" s="113">
        <f t="shared" si="12"/>
        <v>0</v>
      </c>
      <c r="I39" s="113">
        <f t="shared" si="12"/>
        <v>0</v>
      </c>
      <c r="J39" s="113">
        <f t="shared" si="12"/>
        <v>0</v>
      </c>
      <c r="K39" s="113">
        <f>+K10-K27</f>
        <v>0</v>
      </c>
      <c r="L39" s="113">
        <f t="shared" si="12"/>
        <v>0</v>
      </c>
      <c r="M39" s="113">
        <f>+M10-M27</f>
        <v>0</v>
      </c>
      <c r="N39" s="113">
        <f t="shared" si="12"/>
        <v>0</v>
      </c>
      <c r="O39" s="113">
        <f t="shared" si="12"/>
        <v>0</v>
      </c>
      <c r="P39" s="114"/>
      <c r="Q39" s="114"/>
      <c r="R39" s="114"/>
      <c r="S39" s="114"/>
      <c r="T39" s="114"/>
      <c r="U39" s="114"/>
      <c r="V39" s="114"/>
      <c r="W39" s="114"/>
      <c r="X39" s="114"/>
      <c r="Y39" s="114"/>
      <c r="Z39" s="114"/>
      <c r="AA39" s="114"/>
    </row>
    <row r="40" spans="1:91" x14ac:dyDescent="0.2">
      <c r="A40" s="379"/>
      <c r="B40" s="115"/>
      <c r="C40" s="115"/>
      <c r="D40" s="115"/>
      <c r="E40" s="115"/>
      <c r="F40" s="115"/>
      <c r="G40" s="115"/>
      <c r="H40" s="115"/>
      <c r="I40" s="115"/>
      <c r="J40" s="115"/>
      <c r="K40" s="115"/>
      <c r="L40" s="113" t="s">
        <v>120</v>
      </c>
      <c r="M40" s="113" t="s">
        <v>120</v>
      </c>
      <c r="N40" s="115"/>
      <c r="O40" s="115"/>
      <c r="P40" s="114"/>
      <c r="Q40" s="114"/>
      <c r="R40" s="114"/>
      <c r="S40" s="114"/>
      <c r="T40" s="114"/>
      <c r="U40" s="114"/>
      <c r="V40" s="114"/>
      <c r="W40" s="114"/>
      <c r="X40" s="114"/>
      <c r="Y40" s="114"/>
      <c r="Z40" s="114"/>
      <c r="AA40" s="114"/>
    </row>
    <row r="41" spans="1:91" ht="12" customHeight="1" x14ac:dyDescent="0.2">
      <c r="A41" s="116"/>
      <c r="B41" s="117"/>
      <c r="C41" s="118"/>
      <c r="D41" s="114" t="s">
        <v>121</v>
      </c>
      <c r="E41" s="118"/>
      <c r="F41" s="114" t="s">
        <v>121</v>
      </c>
      <c r="G41" s="118"/>
      <c r="H41" s="114" t="s">
        <v>121</v>
      </c>
      <c r="I41" s="118"/>
      <c r="J41" s="114" t="s">
        <v>121</v>
      </c>
      <c r="K41" s="118"/>
      <c r="L41" s="114" t="s">
        <v>121</v>
      </c>
      <c r="M41" s="118"/>
      <c r="N41" s="114" t="s">
        <v>121</v>
      </c>
      <c r="O41" s="118"/>
      <c r="P41" s="114"/>
      <c r="Q41" s="114"/>
      <c r="R41" s="114"/>
      <c r="S41" s="114"/>
      <c r="T41" s="114"/>
      <c r="U41" s="114"/>
      <c r="V41" s="114"/>
      <c r="W41" s="114"/>
      <c r="X41" s="114"/>
      <c r="Y41" s="114"/>
      <c r="Z41" s="114"/>
      <c r="AA41" s="114"/>
    </row>
    <row r="42" spans="1:91" x14ac:dyDescent="0.2">
      <c r="A42" s="116"/>
      <c r="B42" s="116"/>
      <c r="C42" s="8"/>
      <c r="D42" s="8"/>
      <c r="E42" s="8"/>
      <c r="F42" s="8"/>
      <c r="G42" s="8"/>
      <c r="H42" s="8"/>
      <c r="I42" s="8"/>
      <c r="J42" s="8"/>
      <c r="K42" s="8"/>
      <c r="L42" s="8"/>
      <c r="M42" s="8"/>
      <c r="N42" s="8"/>
      <c r="O42" s="8"/>
    </row>
    <row r="43" spans="1:91" x14ac:dyDescent="0.2">
      <c r="A43" s="119"/>
      <c r="B43" s="8"/>
      <c r="C43" s="8"/>
      <c r="D43" s="8"/>
      <c r="E43" s="8"/>
      <c r="F43" s="8"/>
      <c r="G43" s="8"/>
      <c r="H43" s="8"/>
      <c r="I43" s="8"/>
      <c r="J43" s="8"/>
      <c r="K43" s="8"/>
      <c r="L43" s="8"/>
      <c r="M43" s="8"/>
      <c r="N43" s="8"/>
      <c r="O43" s="8"/>
    </row>
    <row r="44" spans="1:91" x14ac:dyDescent="0.2">
      <c r="A44" s="104"/>
      <c r="B44" s="16"/>
      <c r="C44" s="16"/>
      <c r="D44" s="16"/>
      <c r="E44" s="16"/>
      <c r="F44" s="16"/>
      <c r="G44" s="16"/>
      <c r="H44" s="16"/>
      <c r="I44" s="16"/>
      <c r="J44" s="16"/>
      <c r="K44" s="16"/>
      <c r="L44" s="16"/>
      <c r="M44" s="16"/>
      <c r="N44" s="16"/>
      <c r="O44" s="16"/>
    </row>
    <row r="45" spans="1:91" ht="33.75" customHeight="1" x14ac:dyDescent="0.2">
      <c r="A45" s="119"/>
      <c r="B45" s="16"/>
      <c r="C45" s="16"/>
      <c r="D45" s="16"/>
      <c r="E45" s="16"/>
      <c r="F45" s="16"/>
      <c r="G45" s="16"/>
      <c r="H45" s="16"/>
      <c r="I45" s="16"/>
      <c r="J45" s="16"/>
      <c r="K45" s="16"/>
      <c r="L45" s="16"/>
      <c r="M45" s="16"/>
      <c r="N45" s="16"/>
      <c r="O45" s="16"/>
    </row>
    <row r="46" spans="1:91" x14ac:dyDescent="0.2">
      <c r="A46" s="104"/>
      <c r="B46" s="16"/>
      <c r="C46" s="16"/>
      <c r="D46" s="16"/>
      <c r="E46" s="16"/>
      <c r="F46" s="16"/>
      <c r="G46" s="16"/>
      <c r="H46" s="16"/>
      <c r="I46" s="16"/>
      <c r="J46" s="16"/>
      <c r="K46" s="16"/>
      <c r="L46" s="16"/>
      <c r="M46" s="16"/>
      <c r="N46" s="16"/>
      <c r="O46" s="16"/>
    </row>
    <row r="47" spans="1:91" x14ac:dyDescent="0.2">
      <c r="A47" s="119"/>
      <c r="B47" s="16"/>
      <c r="C47" s="16"/>
      <c r="D47" s="16"/>
      <c r="E47" s="16"/>
      <c r="F47" s="16"/>
      <c r="G47" s="16"/>
      <c r="H47" s="16"/>
      <c r="I47" s="16"/>
      <c r="J47" s="16"/>
      <c r="K47" s="16"/>
      <c r="L47" s="16"/>
      <c r="M47" s="16"/>
      <c r="N47" s="16"/>
      <c r="O47" s="16"/>
    </row>
    <row r="48" spans="1:91" x14ac:dyDescent="0.2">
      <c r="A48" s="104"/>
      <c r="B48" s="16"/>
      <c r="C48" s="16"/>
      <c r="D48" s="16"/>
      <c r="E48" s="16"/>
      <c r="F48" s="16"/>
      <c r="G48" s="16"/>
      <c r="H48" s="16"/>
      <c r="I48" s="16"/>
      <c r="J48" s="16"/>
      <c r="K48" s="16"/>
      <c r="L48" s="16"/>
      <c r="M48" s="16"/>
      <c r="N48" s="16"/>
      <c r="O48" s="16"/>
    </row>
    <row r="49" spans="1:15" x14ac:dyDescent="0.2">
      <c r="A49" s="104"/>
      <c r="B49" s="16"/>
      <c r="C49" s="16"/>
      <c r="D49" s="16"/>
      <c r="E49" s="16"/>
      <c r="F49" s="16"/>
      <c r="G49" s="16"/>
      <c r="H49" s="16"/>
      <c r="I49" s="16"/>
      <c r="J49" s="16"/>
      <c r="K49" s="16"/>
      <c r="L49" s="16"/>
      <c r="M49" s="16"/>
      <c r="N49" s="16"/>
      <c r="O49" s="16"/>
    </row>
    <row r="50" spans="1:15" x14ac:dyDescent="0.2">
      <c r="A50" s="104"/>
      <c r="B50" s="16"/>
      <c r="C50" s="16"/>
      <c r="D50" s="16"/>
      <c r="E50" s="16"/>
      <c r="F50" s="16"/>
      <c r="G50" s="16"/>
      <c r="H50" s="16"/>
      <c r="I50" s="16"/>
      <c r="J50" s="16"/>
      <c r="K50" s="16"/>
      <c r="L50" s="16"/>
      <c r="M50" s="16"/>
      <c r="N50" s="16"/>
      <c r="O50" s="16"/>
    </row>
    <row r="51" spans="1:15" x14ac:dyDescent="0.2">
      <c r="A51" s="104"/>
      <c r="B51" s="16"/>
      <c r="C51" s="16"/>
      <c r="D51" s="16"/>
      <c r="E51" s="16"/>
      <c r="F51" s="16"/>
      <c r="G51" s="16"/>
      <c r="H51" s="16"/>
      <c r="I51" s="16"/>
      <c r="J51" s="16"/>
      <c r="K51" s="16"/>
      <c r="L51" s="16"/>
      <c r="M51" s="16"/>
      <c r="N51" s="16"/>
      <c r="O51" s="16"/>
    </row>
    <row r="52" spans="1:15" x14ac:dyDescent="0.2">
      <c r="A52" s="104"/>
      <c r="B52" s="16"/>
      <c r="C52" s="16"/>
      <c r="D52" s="16"/>
      <c r="E52" s="16"/>
      <c r="F52" s="16"/>
      <c r="G52" s="16"/>
      <c r="H52" s="16"/>
      <c r="I52" s="16"/>
      <c r="J52" s="16"/>
      <c r="K52" s="16"/>
      <c r="L52" s="16"/>
      <c r="M52" s="16"/>
      <c r="N52" s="16"/>
      <c r="O52" s="16"/>
    </row>
    <row r="53" spans="1:15" x14ac:dyDescent="0.2">
      <c r="A53" s="104"/>
      <c r="B53" s="16"/>
      <c r="C53" s="16"/>
      <c r="D53" s="16"/>
      <c r="E53" s="16"/>
      <c r="F53" s="16"/>
      <c r="G53" s="16"/>
      <c r="H53" s="16"/>
      <c r="I53" s="16"/>
      <c r="J53" s="16"/>
      <c r="K53" s="16"/>
      <c r="L53" s="16"/>
      <c r="M53" s="16"/>
      <c r="N53" s="16"/>
      <c r="O53" s="16"/>
    </row>
    <row r="54" spans="1:15" x14ac:dyDescent="0.2">
      <c r="A54" s="104"/>
      <c r="B54" s="16"/>
      <c r="C54" s="16"/>
      <c r="D54" s="16"/>
      <c r="E54" s="16"/>
      <c r="F54" s="16"/>
      <c r="G54" s="16"/>
      <c r="H54" s="16"/>
      <c r="I54" s="16"/>
      <c r="J54" s="16"/>
      <c r="K54" s="16"/>
      <c r="L54" s="16"/>
      <c r="M54" s="16"/>
      <c r="N54" s="16"/>
      <c r="O54" s="16"/>
    </row>
    <row r="55" spans="1:15" x14ac:dyDescent="0.2">
      <c r="A55" s="104"/>
      <c r="B55" s="16"/>
      <c r="C55" s="16"/>
      <c r="D55" s="16"/>
      <c r="E55" s="16"/>
      <c r="F55" s="16"/>
      <c r="G55" s="16"/>
      <c r="H55" s="16"/>
      <c r="I55" s="16"/>
      <c r="J55" s="16"/>
      <c r="K55" s="16"/>
      <c r="L55" s="16"/>
      <c r="M55" s="16"/>
      <c r="N55" s="16"/>
      <c r="O55" s="16"/>
    </row>
    <row r="56" spans="1:15" x14ac:dyDescent="0.2">
      <c r="A56" s="104"/>
      <c r="B56" s="16"/>
      <c r="C56" s="16"/>
      <c r="D56" s="16"/>
      <c r="E56" s="16"/>
      <c r="F56" s="16"/>
      <c r="G56" s="16"/>
      <c r="H56" s="16"/>
      <c r="I56" s="16"/>
      <c r="J56" s="16"/>
      <c r="K56" s="16"/>
      <c r="L56" s="16"/>
      <c r="M56" s="16"/>
      <c r="N56" s="16"/>
      <c r="O56" s="16"/>
    </row>
    <row r="57" spans="1:15" x14ac:dyDescent="0.2">
      <c r="A57" s="104"/>
      <c r="B57" s="16"/>
      <c r="C57" s="16"/>
      <c r="D57" s="16"/>
      <c r="E57" s="16"/>
      <c r="F57" s="16"/>
      <c r="G57" s="16"/>
      <c r="H57" s="16"/>
      <c r="I57" s="16"/>
      <c r="J57" s="16"/>
      <c r="K57" s="16"/>
      <c r="L57" s="16"/>
      <c r="M57" s="16"/>
      <c r="N57" s="16"/>
      <c r="O57" s="16"/>
    </row>
    <row r="58" spans="1:15" x14ac:dyDescent="0.2">
      <c r="A58" s="104"/>
      <c r="B58" s="16"/>
      <c r="C58" s="16"/>
      <c r="D58" s="16"/>
      <c r="E58" s="16"/>
      <c r="F58" s="16"/>
      <c r="G58" s="16"/>
      <c r="H58" s="16"/>
      <c r="I58" s="16"/>
      <c r="J58" s="16"/>
      <c r="K58" s="16"/>
      <c r="L58" s="16"/>
      <c r="M58" s="16"/>
      <c r="N58" s="16"/>
      <c r="O58" s="16"/>
    </row>
    <row r="59" spans="1:15" x14ac:dyDescent="0.2">
      <c r="A59" s="104"/>
      <c r="B59" s="16"/>
      <c r="C59" s="16"/>
      <c r="D59" s="16"/>
      <c r="E59" s="16"/>
      <c r="F59" s="16"/>
      <c r="G59" s="16"/>
      <c r="H59" s="16"/>
      <c r="I59" s="16"/>
      <c r="J59" s="16"/>
      <c r="K59" s="16"/>
      <c r="L59" s="16"/>
      <c r="M59" s="16"/>
      <c r="N59" s="16"/>
      <c r="O59" s="16"/>
    </row>
    <row r="60" spans="1:15" x14ac:dyDescent="0.2">
      <c r="A60" s="104"/>
      <c r="B60" s="16"/>
      <c r="C60" s="16"/>
      <c r="D60" s="16"/>
      <c r="E60" s="16"/>
      <c r="F60" s="16"/>
      <c r="G60" s="16"/>
      <c r="H60" s="16"/>
      <c r="I60" s="16"/>
      <c r="J60" s="16"/>
      <c r="K60" s="16"/>
      <c r="L60" s="16"/>
      <c r="M60" s="16"/>
      <c r="N60" s="16"/>
      <c r="O60" s="16"/>
    </row>
    <row r="61" spans="1:15" x14ac:dyDescent="0.2">
      <c r="A61" s="104"/>
      <c r="B61" s="16"/>
      <c r="C61" s="16"/>
      <c r="D61" s="16"/>
      <c r="E61" s="16"/>
      <c r="F61" s="16"/>
      <c r="G61" s="16"/>
      <c r="H61" s="16"/>
      <c r="I61" s="16"/>
      <c r="J61" s="16"/>
      <c r="K61" s="16"/>
      <c r="L61" s="16"/>
      <c r="M61" s="16"/>
      <c r="N61" s="16"/>
      <c r="O61" s="16"/>
    </row>
    <row r="62" spans="1:15" x14ac:dyDescent="0.2">
      <c r="A62" s="104"/>
      <c r="B62" s="16"/>
      <c r="C62" s="16"/>
      <c r="D62" s="16"/>
      <c r="E62" s="16"/>
      <c r="F62" s="16"/>
      <c r="G62" s="16"/>
      <c r="H62" s="16"/>
      <c r="I62" s="16"/>
      <c r="J62" s="16"/>
      <c r="K62" s="16"/>
      <c r="L62" s="16"/>
      <c r="M62" s="16"/>
      <c r="N62" s="16"/>
      <c r="O62" s="16"/>
    </row>
    <row r="63" spans="1:15" x14ac:dyDescent="0.2">
      <c r="A63" s="104"/>
      <c r="B63" s="16"/>
      <c r="C63" s="16"/>
      <c r="D63" s="16"/>
      <c r="E63" s="16"/>
      <c r="F63" s="16"/>
      <c r="G63" s="16"/>
      <c r="H63" s="16"/>
      <c r="I63" s="16"/>
      <c r="J63" s="16"/>
      <c r="K63" s="16"/>
      <c r="L63" s="16"/>
      <c r="M63" s="16"/>
      <c r="N63" s="16"/>
      <c r="O63" s="16"/>
    </row>
    <row r="64" spans="1:15" x14ac:dyDescent="0.2">
      <c r="A64" s="104"/>
      <c r="B64" s="16"/>
      <c r="C64" s="16"/>
      <c r="D64" s="16"/>
      <c r="E64" s="16"/>
      <c r="F64" s="16"/>
      <c r="G64" s="16"/>
      <c r="H64" s="16"/>
      <c r="I64" s="16"/>
      <c r="J64" s="16"/>
      <c r="K64" s="16"/>
      <c r="L64" s="16"/>
      <c r="M64" s="16"/>
      <c r="N64" s="16"/>
      <c r="O64" s="16"/>
    </row>
    <row r="65" spans="1:15" x14ac:dyDescent="0.2">
      <c r="A65" s="104"/>
      <c r="B65" s="16"/>
      <c r="C65" s="16"/>
      <c r="D65" s="16"/>
      <c r="E65" s="16"/>
      <c r="F65" s="16"/>
      <c r="G65" s="16"/>
      <c r="H65" s="16"/>
      <c r="I65" s="16"/>
      <c r="J65" s="16"/>
      <c r="K65" s="16"/>
      <c r="L65" s="16"/>
      <c r="M65" s="16"/>
      <c r="N65" s="16"/>
      <c r="O65" s="16"/>
    </row>
    <row r="66" spans="1:15" x14ac:dyDescent="0.2">
      <c r="A66" s="104"/>
      <c r="B66" s="16"/>
      <c r="C66" s="16"/>
      <c r="D66" s="16"/>
      <c r="E66" s="16"/>
      <c r="F66" s="16"/>
      <c r="G66" s="16"/>
      <c r="H66" s="16"/>
      <c r="I66" s="16"/>
      <c r="J66" s="16"/>
      <c r="K66" s="16"/>
      <c r="L66" s="16"/>
      <c r="M66" s="16"/>
      <c r="N66" s="16"/>
      <c r="O66" s="16"/>
    </row>
    <row r="67" spans="1:15" x14ac:dyDescent="0.2">
      <c r="A67" s="104"/>
      <c r="B67" s="16"/>
      <c r="C67" s="16"/>
      <c r="D67" s="16"/>
      <c r="E67" s="16"/>
      <c r="F67" s="16"/>
      <c r="G67" s="16"/>
      <c r="H67" s="16"/>
      <c r="I67" s="16"/>
      <c r="J67" s="16"/>
      <c r="K67" s="16"/>
      <c r="L67" s="16"/>
      <c r="M67" s="16"/>
      <c r="N67" s="16"/>
      <c r="O67" s="16"/>
    </row>
    <row r="68" spans="1:15" x14ac:dyDescent="0.2">
      <c r="A68" s="104"/>
      <c r="B68" s="16"/>
      <c r="C68" s="16"/>
      <c r="D68" s="16"/>
      <c r="E68" s="16"/>
      <c r="F68" s="16"/>
      <c r="G68" s="16"/>
      <c r="H68" s="16"/>
      <c r="I68" s="16"/>
      <c r="J68" s="16"/>
      <c r="K68" s="16"/>
      <c r="L68" s="16"/>
      <c r="M68" s="16"/>
      <c r="N68" s="16"/>
      <c r="O68" s="16"/>
    </row>
    <row r="69" spans="1:15" x14ac:dyDescent="0.2">
      <c r="A69" s="104"/>
      <c r="B69" s="16"/>
      <c r="C69" s="16"/>
      <c r="D69" s="16"/>
      <c r="E69" s="16"/>
      <c r="F69" s="16"/>
      <c r="G69" s="16"/>
      <c r="H69" s="16"/>
      <c r="I69" s="16"/>
      <c r="J69" s="16"/>
      <c r="K69" s="16"/>
      <c r="L69" s="16"/>
      <c r="M69" s="16"/>
      <c r="N69" s="16"/>
      <c r="O69" s="16"/>
    </row>
    <row r="70" spans="1:15" x14ac:dyDescent="0.2">
      <c r="A70" s="104"/>
      <c r="B70" s="16"/>
      <c r="C70" s="16"/>
      <c r="D70" s="16"/>
      <c r="E70" s="16"/>
      <c r="F70" s="16"/>
      <c r="G70" s="16"/>
      <c r="H70" s="16"/>
      <c r="I70" s="16"/>
      <c r="J70" s="16"/>
      <c r="K70" s="16"/>
      <c r="L70" s="16"/>
      <c r="M70" s="16"/>
      <c r="N70" s="16"/>
      <c r="O70" s="16"/>
    </row>
    <row r="71" spans="1:15" x14ac:dyDescent="0.2">
      <c r="A71" s="104"/>
      <c r="B71" s="16"/>
      <c r="C71" s="16"/>
      <c r="D71" s="16"/>
      <c r="E71" s="16"/>
      <c r="F71" s="16"/>
      <c r="G71" s="16"/>
      <c r="H71" s="16"/>
      <c r="I71" s="16"/>
      <c r="J71" s="16"/>
      <c r="K71" s="16"/>
      <c r="L71" s="16"/>
      <c r="M71" s="16"/>
      <c r="N71" s="16"/>
      <c r="O71" s="16"/>
    </row>
    <row r="72" spans="1:15" x14ac:dyDescent="0.2">
      <c r="A72" s="104"/>
      <c r="B72" s="16"/>
      <c r="C72" s="16"/>
      <c r="D72" s="16"/>
      <c r="E72" s="16"/>
      <c r="F72" s="16"/>
      <c r="G72" s="16"/>
      <c r="H72" s="16"/>
      <c r="I72" s="16"/>
      <c r="J72" s="16"/>
      <c r="K72" s="16"/>
      <c r="L72" s="16"/>
      <c r="M72" s="16"/>
      <c r="N72" s="16"/>
      <c r="O72" s="16"/>
    </row>
    <row r="73" spans="1:15" x14ac:dyDescent="0.2">
      <c r="A73" s="104"/>
      <c r="B73" s="16"/>
      <c r="C73" s="16"/>
      <c r="D73" s="16"/>
      <c r="E73" s="16"/>
      <c r="F73" s="16"/>
      <c r="G73" s="16"/>
      <c r="H73" s="16"/>
      <c r="I73" s="16"/>
      <c r="J73" s="16"/>
      <c r="K73" s="16"/>
      <c r="L73" s="16"/>
      <c r="M73" s="16"/>
      <c r="N73" s="16"/>
      <c r="O73" s="16"/>
    </row>
    <row r="74" spans="1:15" x14ac:dyDescent="0.2">
      <c r="A74" s="104"/>
      <c r="B74" s="16"/>
      <c r="C74" s="16"/>
      <c r="D74" s="16"/>
      <c r="E74" s="16"/>
      <c r="F74" s="16"/>
      <c r="G74" s="16"/>
      <c r="H74" s="16"/>
      <c r="I74" s="16"/>
      <c r="J74" s="16"/>
      <c r="K74" s="16"/>
      <c r="L74" s="16"/>
      <c r="M74" s="16"/>
      <c r="N74" s="16"/>
      <c r="O74" s="16"/>
    </row>
    <row r="75" spans="1:15" x14ac:dyDescent="0.2">
      <c r="A75" s="104"/>
      <c r="B75" s="16"/>
      <c r="C75" s="16"/>
      <c r="D75" s="16"/>
      <c r="E75" s="16"/>
      <c r="F75" s="16"/>
      <c r="G75" s="16"/>
      <c r="H75" s="16"/>
      <c r="I75" s="16"/>
      <c r="J75" s="16"/>
      <c r="K75" s="16"/>
      <c r="L75" s="16"/>
      <c r="M75" s="16"/>
      <c r="N75" s="16"/>
      <c r="O75" s="16"/>
    </row>
    <row r="76" spans="1:15" x14ac:dyDescent="0.2">
      <c r="A76" s="104"/>
      <c r="B76" s="16"/>
      <c r="C76" s="16"/>
      <c r="D76" s="16"/>
      <c r="E76" s="16"/>
      <c r="F76" s="16"/>
      <c r="G76" s="16"/>
      <c r="H76" s="16"/>
      <c r="I76" s="16"/>
      <c r="J76" s="16"/>
      <c r="K76" s="16"/>
      <c r="L76" s="16"/>
      <c r="M76" s="16"/>
      <c r="N76" s="16"/>
      <c r="O76" s="16"/>
    </row>
    <row r="77" spans="1:15" x14ac:dyDescent="0.2">
      <c r="A77" s="104"/>
      <c r="B77" s="16"/>
      <c r="C77" s="16"/>
      <c r="D77" s="16"/>
      <c r="E77" s="16"/>
      <c r="F77" s="16"/>
      <c r="G77" s="16"/>
      <c r="H77" s="16"/>
      <c r="I77" s="16"/>
      <c r="J77" s="16"/>
      <c r="K77" s="16"/>
      <c r="L77" s="16"/>
      <c r="M77" s="16"/>
      <c r="N77" s="16"/>
      <c r="O77" s="16"/>
    </row>
    <row r="78" spans="1:15" x14ac:dyDescent="0.2">
      <c r="A78" s="104"/>
      <c r="B78" s="16"/>
      <c r="C78" s="16"/>
      <c r="D78" s="16"/>
      <c r="E78" s="16"/>
      <c r="F78" s="16"/>
      <c r="G78" s="16"/>
      <c r="H78" s="16"/>
      <c r="I78" s="16"/>
      <c r="J78" s="16"/>
      <c r="K78" s="16"/>
      <c r="L78" s="16"/>
      <c r="M78" s="16"/>
      <c r="N78" s="16"/>
      <c r="O78" s="16"/>
    </row>
    <row r="79" spans="1:15" x14ac:dyDescent="0.2">
      <c r="A79" s="104"/>
      <c r="B79" s="16"/>
      <c r="C79" s="16"/>
      <c r="D79" s="16"/>
      <c r="E79" s="16"/>
      <c r="F79" s="16"/>
      <c r="G79" s="16"/>
      <c r="H79" s="16"/>
      <c r="I79" s="16"/>
      <c r="J79" s="16"/>
      <c r="K79" s="16"/>
      <c r="L79" s="16"/>
      <c r="M79" s="16"/>
      <c r="N79" s="16"/>
      <c r="O79" s="16"/>
    </row>
    <row r="80" spans="1:15" x14ac:dyDescent="0.2">
      <c r="A80" s="104"/>
      <c r="B80" s="16"/>
      <c r="C80" s="16"/>
      <c r="D80" s="16"/>
      <c r="E80" s="16"/>
      <c r="F80" s="16"/>
      <c r="G80" s="16"/>
      <c r="H80" s="16"/>
      <c r="I80" s="16"/>
      <c r="J80" s="16"/>
      <c r="K80" s="16"/>
      <c r="L80" s="16"/>
      <c r="M80" s="16"/>
      <c r="N80" s="16"/>
      <c r="O80" s="16"/>
    </row>
    <row r="81" spans="1:15" x14ac:dyDescent="0.2">
      <c r="A81" s="104"/>
      <c r="B81" s="16"/>
      <c r="C81" s="16"/>
      <c r="D81" s="16"/>
      <c r="E81" s="16"/>
      <c r="F81" s="16"/>
      <c r="G81" s="16"/>
      <c r="H81" s="16"/>
      <c r="I81" s="16"/>
      <c r="J81" s="16"/>
      <c r="K81" s="16"/>
      <c r="L81" s="16"/>
      <c r="M81" s="16"/>
      <c r="N81" s="16"/>
      <c r="O81" s="16"/>
    </row>
    <row r="82" spans="1:15" x14ac:dyDescent="0.2">
      <c r="A82" s="104"/>
      <c r="B82" s="16"/>
      <c r="C82" s="16"/>
      <c r="D82" s="16"/>
      <c r="E82" s="16"/>
      <c r="F82" s="16"/>
      <c r="G82" s="16"/>
      <c r="H82" s="16"/>
      <c r="I82" s="16"/>
      <c r="J82" s="16"/>
      <c r="K82" s="16"/>
      <c r="L82" s="16"/>
      <c r="M82" s="16"/>
      <c r="N82" s="16"/>
      <c r="O82" s="16"/>
    </row>
    <row r="83" spans="1:15" x14ac:dyDescent="0.2">
      <c r="A83" s="104"/>
      <c r="B83" s="16"/>
      <c r="C83" s="16"/>
      <c r="D83" s="16"/>
      <c r="E83" s="16"/>
      <c r="F83" s="16"/>
      <c r="G83" s="16"/>
      <c r="H83" s="16"/>
      <c r="I83" s="16"/>
      <c r="J83" s="16"/>
      <c r="K83" s="16"/>
      <c r="L83" s="16"/>
      <c r="M83" s="16"/>
      <c r="N83" s="16"/>
      <c r="O83" s="16"/>
    </row>
    <row r="84" spans="1:15" x14ac:dyDescent="0.2">
      <c r="A84" s="104"/>
      <c r="B84" s="16"/>
      <c r="C84" s="16"/>
      <c r="D84" s="16"/>
      <c r="E84" s="16"/>
      <c r="F84" s="16"/>
      <c r="G84" s="16"/>
      <c r="H84" s="16"/>
      <c r="I84" s="16"/>
      <c r="J84" s="16"/>
      <c r="K84" s="16"/>
      <c r="L84" s="16"/>
      <c r="M84" s="16"/>
      <c r="N84" s="16"/>
      <c r="O84" s="16"/>
    </row>
    <row r="85" spans="1:15" x14ac:dyDescent="0.2">
      <c r="A85" s="104"/>
      <c r="B85" s="16"/>
      <c r="C85" s="16"/>
      <c r="D85" s="16"/>
      <c r="E85" s="16"/>
      <c r="F85" s="16"/>
      <c r="G85" s="16"/>
      <c r="H85" s="16"/>
      <c r="I85" s="16"/>
      <c r="J85" s="16"/>
      <c r="K85" s="16"/>
      <c r="L85" s="16"/>
      <c r="M85" s="16"/>
      <c r="N85" s="16"/>
      <c r="O85" s="16"/>
    </row>
    <row r="86" spans="1:15" x14ac:dyDescent="0.2">
      <c r="A86" s="104"/>
      <c r="B86" s="16"/>
      <c r="C86" s="16"/>
      <c r="D86" s="16"/>
      <c r="E86" s="16"/>
      <c r="F86" s="16"/>
      <c r="G86" s="16"/>
      <c r="H86" s="16"/>
      <c r="I86" s="16"/>
      <c r="J86" s="16"/>
      <c r="K86" s="16"/>
      <c r="L86" s="16"/>
      <c r="M86" s="16"/>
      <c r="N86" s="16"/>
      <c r="O86" s="16"/>
    </row>
    <row r="87" spans="1:15" x14ac:dyDescent="0.2">
      <c r="A87" s="104"/>
      <c r="B87" s="16"/>
      <c r="C87" s="16"/>
      <c r="D87" s="16"/>
      <c r="E87" s="16"/>
      <c r="F87" s="16"/>
      <c r="G87" s="16"/>
      <c r="H87" s="16"/>
      <c r="I87" s="16"/>
      <c r="J87" s="16"/>
      <c r="K87" s="16"/>
      <c r="L87" s="16"/>
      <c r="M87" s="16"/>
      <c r="N87" s="16"/>
      <c r="O87" s="16"/>
    </row>
    <row r="88" spans="1:15" x14ac:dyDescent="0.2">
      <c r="A88" s="104"/>
      <c r="B88" s="16"/>
      <c r="C88" s="16"/>
      <c r="D88" s="16"/>
      <c r="E88" s="16"/>
      <c r="F88" s="16"/>
      <c r="G88" s="16"/>
      <c r="H88" s="16"/>
      <c r="I88" s="16"/>
      <c r="J88" s="16"/>
      <c r="K88" s="16"/>
      <c r="L88" s="16"/>
      <c r="M88" s="16"/>
      <c r="N88" s="16"/>
      <c r="O88" s="16"/>
    </row>
    <row r="89" spans="1:15" x14ac:dyDescent="0.2">
      <c r="A89" s="104"/>
      <c r="B89" s="16"/>
      <c r="C89" s="16"/>
      <c r="D89" s="16"/>
      <c r="E89" s="16"/>
      <c r="F89" s="16"/>
      <c r="G89" s="16"/>
      <c r="H89" s="16"/>
      <c r="I89" s="16"/>
      <c r="J89" s="16"/>
      <c r="K89" s="16"/>
      <c r="L89" s="16"/>
      <c r="M89" s="16"/>
      <c r="N89" s="16"/>
      <c r="O89" s="16"/>
    </row>
    <row r="90" spans="1:15" x14ac:dyDescent="0.2">
      <c r="A90" s="104"/>
      <c r="B90" s="16"/>
      <c r="C90" s="16"/>
      <c r="D90" s="16"/>
      <c r="E90" s="16"/>
      <c r="F90" s="16"/>
      <c r="G90" s="16"/>
      <c r="H90" s="16"/>
      <c r="I90" s="16"/>
      <c r="J90" s="16"/>
      <c r="K90" s="16"/>
      <c r="L90" s="16"/>
      <c r="M90" s="16"/>
      <c r="N90" s="16"/>
      <c r="O90" s="16"/>
    </row>
    <row r="91" spans="1:15" x14ac:dyDescent="0.2">
      <c r="A91" s="104"/>
      <c r="B91" s="16"/>
      <c r="C91" s="16"/>
      <c r="D91" s="16"/>
      <c r="E91" s="16"/>
      <c r="F91" s="16"/>
      <c r="G91" s="16"/>
      <c r="H91" s="16"/>
      <c r="I91" s="16"/>
      <c r="J91" s="16"/>
      <c r="K91" s="16"/>
      <c r="L91" s="16"/>
      <c r="M91" s="16"/>
      <c r="N91" s="16"/>
      <c r="O91" s="16"/>
    </row>
    <row r="92" spans="1:15" x14ac:dyDescent="0.2">
      <c r="A92" s="104"/>
      <c r="B92" s="16"/>
      <c r="C92" s="16"/>
      <c r="D92" s="16"/>
      <c r="E92" s="16"/>
      <c r="F92" s="16"/>
      <c r="G92" s="16"/>
      <c r="H92" s="16"/>
      <c r="I92" s="16"/>
      <c r="J92" s="16"/>
      <c r="K92" s="16"/>
      <c r="L92" s="16"/>
      <c r="M92" s="16"/>
      <c r="N92" s="16"/>
      <c r="O92" s="16"/>
    </row>
    <row r="93" spans="1:15" x14ac:dyDescent="0.2">
      <c r="A93" s="104"/>
      <c r="B93" s="16"/>
      <c r="C93" s="16"/>
      <c r="D93" s="16"/>
      <c r="E93" s="16"/>
      <c r="F93" s="16"/>
      <c r="G93" s="16"/>
      <c r="H93" s="16"/>
      <c r="I93" s="16"/>
      <c r="J93" s="16"/>
      <c r="K93" s="16"/>
      <c r="L93" s="16"/>
      <c r="M93" s="16"/>
      <c r="N93" s="16"/>
      <c r="O93" s="16"/>
    </row>
    <row r="94" spans="1:15" x14ac:dyDescent="0.2">
      <c r="A94" s="104"/>
      <c r="B94" s="16"/>
      <c r="C94" s="16"/>
      <c r="D94" s="16"/>
      <c r="E94" s="16"/>
      <c r="F94" s="16"/>
      <c r="G94" s="16"/>
      <c r="H94" s="16"/>
      <c r="I94" s="16"/>
      <c r="J94" s="16"/>
      <c r="K94" s="16"/>
      <c r="L94" s="16"/>
      <c r="M94" s="16"/>
      <c r="N94" s="16"/>
      <c r="O94" s="16"/>
    </row>
    <row r="95" spans="1:15" x14ac:dyDescent="0.2">
      <c r="A95" s="104"/>
      <c r="B95" s="16"/>
      <c r="C95" s="16"/>
      <c r="D95" s="16"/>
      <c r="E95" s="16"/>
      <c r="F95" s="16"/>
      <c r="G95" s="16"/>
      <c r="H95" s="16"/>
      <c r="I95" s="16"/>
      <c r="J95" s="16"/>
      <c r="K95" s="16"/>
      <c r="L95" s="16"/>
      <c r="M95" s="16"/>
      <c r="N95" s="16"/>
      <c r="O95" s="16"/>
    </row>
    <row r="96" spans="1:15" x14ac:dyDescent="0.2">
      <c r="A96" s="104"/>
      <c r="B96" s="16"/>
      <c r="C96" s="16"/>
      <c r="D96" s="16"/>
      <c r="E96" s="16"/>
      <c r="F96" s="16"/>
      <c r="G96" s="16"/>
      <c r="H96" s="16"/>
      <c r="I96" s="16"/>
      <c r="J96" s="16"/>
      <c r="K96" s="16"/>
      <c r="L96" s="16"/>
      <c r="M96" s="16"/>
      <c r="N96" s="16"/>
      <c r="O96" s="16"/>
    </row>
    <row r="97" spans="1:15" x14ac:dyDescent="0.2">
      <c r="A97" s="104"/>
      <c r="B97" s="16"/>
      <c r="C97" s="16"/>
      <c r="D97" s="16"/>
      <c r="E97" s="16"/>
      <c r="F97" s="16"/>
      <c r="G97" s="16"/>
      <c r="H97" s="16"/>
      <c r="I97" s="16"/>
      <c r="J97" s="16"/>
      <c r="K97" s="16"/>
      <c r="L97" s="16"/>
      <c r="M97" s="16"/>
      <c r="N97" s="16"/>
      <c r="O97" s="16"/>
    </row>
    <row r="98" spans="1:15" x14ac:dyDescent="0.2">
      <c r="A98" s="104"/>
      <c r="B98" s="16"/>
      <c r="C98" s="16"/>
      <c r="D98" s="16"/>
      <c r="E98" s="16"/>
      <c r="F98" s="16"/>
      <c r="G98" s="16"/>
      <c r="H98" s="16"/>
      <c r="I98" s="16"/>
      <c r="J98" s="16"/>
      <c r="K98" s="16"/>
      <c r="L98" s="16"/>
      <c r="M98" s="16"/>
      <c r="N98" s="16"/>
      <c r="O98" s="16"/>
    </row>
    <row r="99" spans="1:15" x14ac:dyDescent="0.2">
      <c r="A99" s="104"/>
      <c r="B99" s="16"/>
      <c r="C99" s="16"/>
      <c r="D99" s="16"/>
      <c r="E99" s="16"/>
      <c r="F99" s="16"/>
      <c r="G99" s="16"/>
      <c r="H99" s="16"/>
      <c r="I99" s="16"/>
      <c r="J99" s="16"/>
      <c r="K99" s="16"/>
      <c r="L99" s="16"/>
      <c r="M99" s="16"/>
      <c r="N99" s="16"/>
      <c r="O99" s="16"/>
    </row>
    <row r="100" spans="1:15" x14ac:dyDescent="0.2">
      <c r="A100" s="104"/>
      <c r="B100" s="16"/>
      <c r="C100" s="16"/>
      <c r="D100" s="16"/>
      <c r="E100" s="16"/>
      <c r="F100" s="16"/>
      <c r="G100" s="16"/>
      <c r="H100" s="16"/>
      <c r="I100" s="16"/>
      <c r="J100" s="16"/>
      <c r="K100" s="16"/>
      <c r="L100" s="16"/>
      <c r="M100" s="16"/>
      <c r="N100" s="16"/>
      <c r="O100" s="16"/>
    </row>
    <row r="101" spans="1:15" x14ac:dyDescent="0.2">
      <c r="A101" s="104"/>
      <c r="B101" s="16"/>
      <c r="C101" s="16"/>
      <c r="D101" s="16"/>
      <c r="E101" s="16"/>
      <c r="F101" s="16"/>
      <c r="G101" s="16"/>
      <c r="H101" s="16"/>
      <c r="I101" s="16"/>
      <c r="J101" s="16"/>
      <c r="K101" s="16"/>
      <c r="L101" s="16"/>
      <c r="M101" s="16"/>
      <c r="N101" s="16"/>
      <c r="O101" s="16"/>
    </row>
    <row r="102" spans="1:15" x14ac:dyDescent="0.2">
      <c r="A102" s="104"/>
      <c r="B102" s="16"/>
      <c r="C102" s="16"/>
      <c r="D102" s="16"/>
      <c r="E102" s="16"/>
      <c r="F102" s="16"/>
      <c r="G102" s="16"/>
      <c r="H102" s="16"/>
      <c r="I102" s="16"/>
      <c r="J102" s="16"/>
      <c r="K102" s="16"/>
      <c r="L102" s="16"/>
      <c r="M102" s="16"/>
      <c r="N102" s="16"/>
      <c r="O102" s="16"/>
    </row>
    <row r="103" spans="1:15" x14ac:dyDescent="0.2">
      <c r="A103" s="104"/>
      <c r="B103" s="16"/>
      <c r="C103" s="16"/>
      <c r="D103" s="16"/>
      <c r="E103" s="16"/>
      <c r="F103" s="16"/>
      <c r="G103" s="16"/>
      <c r="H103" s="16"/>
      <c r="I103" s="16"/>
      <c r="J103" s="16"/>
      <c r="K103" s="16"/>
      <c r="L103" s="16"/>
      <c r="M103" s="16"/>
      <c r="N103" s="16"/>
      <c r="O103" s="16"/>
    </row>
    <row r="104" spans="1:15" x14ac:dyDescent="0.2">
      <c r="A104" s="104"/>
      <c r="B104" s="16"/>
      <c r="C104" s="16"/>
      <c r="D104" s="16"/>
      <c r="E104" s="16"/>
      <c r="F104" s="16"/>
      <c r="G104" s="16"/>
      <c r="H104" s="16"/>
      <c r="I104" s="16"/>
      <c r="J104" s="16"/>
      <c r="K104" s="16"/>
      <c r="L104" s="16"/>
      <c r="M104" s="16"/>
      <c r="N104" s="16"/>
      <c r="O104" s="16"/>
    </row>
    <row r="105" spans="1:15" x14ac:dyDescent="0.2">
      <c r="A105" s="104"/>
      <c r="B105" s="16"/>
      <c r="C105" s="16"/>
      <c r="D105" s="16"/>
      <c r="E105" s="16"/>
      <c r="F105" s="16"/>
      <c r="G105" s="16"/>
      <c r="H105" s="16"/>
      <c r="I105" s="16"/>
      <c r="J105" s="16"/>
      <c r="K105" s="16"/>
      <c r="L105" s="16"/>
      <c r="M105" s="16"/>
      <c r="N105" s="16"/>
      <c r="O105" s="16"/>
    </row>
    <row r="106" spans="1:15" x14ac:dyDescent="0.2">
      <c r="A106" s="104"/>
      <c r="B106" s="16"/>
      <c r="C106" s="16"/>
      <c r="D106" s="16"/>
      <c r="E106" s="16"/>
      <c r="F106" s="16"/>
      <c r="G106" s="16"/>
      <c r="H106" s="16"/>
      <c r="I106" s="16"/>
      <c r="J106" s="16"/>
      <c r="K106" s="16"/>
      <c r="L106" s="16"/>
      <c r="M106" s="16"/>
      <c r="N106" s="16"/>
      <c r="O106" s="16"/>
    </row>
    <row r="107" spans="1:15" x14ac:dyDescent="0.2">
      <c r="A107" s="104"/>
      <c r="B107" s="16"/>
      <c r="C107" s="16"/>
      <c r="D107" s="16"/>
      <c r="E107" s="16"/>
      <c r="F107" s="16"/>
      <c r="G107" s="16"/>
      <c r="H107" s="16"/>
      <c r="I107" s="16"/>
      <c r="J107" s="16"/>
      <c r="K107" s="16"/>
      <c r="L107" s="16"/>
      <c r="M107" s="16"/>
      <c r="N107" s="16"/>
      <c r="O107" s="16"/>
    </row>
    <row r="108" spans="1:15" x14ac:dyDescent="0.2">
      <c r="A108" s="104"/>
      <c r="B108" s="16"/>
      <c r="C108" s="16"/>
      <c r="D108" s="16"/>
      <c r="E108" s="16"/>
      <c r="F108" s="16"/>
      <c r="G108" s="16"/>
      <c r="H108" s="16"/>
      <c r="I108" s="16"/>
      <c r="J108" s="16"/>
      <c r="K108" s="16"/>
      <c r="L108" s="16"/>
      <c r="M108" s="16"/>
      <c r="N108" s="16"/>
      <c r="O108" s="16"/>
    </row>
    <row r="109" spans="1:15" x14ac:dyDescent="0.2">
      <c r="A109" s="104"/>
      <c r="B109" s="16"/>
      <c r="C109" s="16"/>
      <c r="D109" s="16"/>
      <c r="E109" s="16"/>
      <c r="F109" s="16"/>
      <c r="G109" s="16"/>
      <c r="H109" s="16"/>
      <c r="I109" s="16"/>
      <c r="J109" s="16"/>
      <c r="K109" s="16"/>
      <c r="L109" s="16"/>
      <c r="M109" s="16"/>
      <c r="N109" s="16"/>
      <c r="O109" s="16"/>
    </row>
    <row r="110" spans="1:15" x14ac:dyDescent="0.2">
      <c r="A110" s="104"/>
      <c r="B110" s="16"/>
      <c r="C110" s="16"/>
      <c r="D110" s="16"/>
      <c r="E110" s="16"/>
      <c r="F110" s="16"/>
      <c r="G110" s="16"/>
      <c r="H110" s="16"/>
      <c r="I110" s="16"/>
      <c r="J110" s="16"/>
      <c r="K110" s="16"/>
      <c r="L110" s="16"/>
      <c r="M110" s="16"/>
      <c r="N110" s="16"/>
      <c r="O110" s="16"/>
    </row>
    <row r="111" spans="1:15" x14ac:dyDescent="0.2">
      <c r="A111" s="104"/>
      <c r="B111" s="16"/>
      <c r="C111" s="16"/>
      <c r="D111" s="16"/>
      <c r="E111" s="16"/>
      <c r="F111" s="16"/>
      <c r="G111" s="16"/>
      <c r="H111" s="16"/>
      <c r="I111" s="16"/>
      <c r="J111" s="16"/>
      <c r="K111" s="16"/>
      <c r="L111" s="16"/>
      <c r="M111" s="16"/>
      <c r="N111" s="16"/>
      <c r="O111" s="16"/>
    </row>
    <row r="112" spans="1:15" x14ac:dyDescent="0.2">
      <c r="A112" s="104"/>
      <c r="B112" s="16"/>
      <c r="C112" s="16"/>
      <c r="D112" s="16"/>
      <c r="E112" s="16"/>
      <c r="F112" s="16"/>
      <c r="G112" s="16"/>
      <c r="H112" s="16"/>
      <c r="I112" s="16"/>
      <c r="J112" s="16"/>
      <c r="K112" s="16"/>
      <c r="L112" s="16"/>
      <c r="M112" s="16"/>
      <c r="N112" s="16"/>
      <c r="O112" s="16"/>
    </row>
    <row r="113" spans="1:91" x14ac:dyDescent="0.2">
      <c r="A113" s="104"/>
      <c r="B113" s="16"/>
      <c r="C113" s="16"/>
      <c r="D113" s="16"/>
      <c r="E113" s="16"/>
      <c r="F113" s="16"/>
      <c r="G113" s="16"/>
      <c r="H113" s="16"/>
      <c r="I113" s="16"/>
      <c r="J113" s="16"/>
      <c r="K113" s="16"/>
      <c r="L113" s="16"/>
      <c r="M113" s="16"/>
      <c r="N113" s="16"/>
      <c r="O113" s="16"/>
    </row>
    <row r="114" spans="1:91" x14ac:dyDescent="0.2">
      <c r="A114" s="104"/>
      <c r="B114" s="16"/>
      <c r="C114" s="16"/>
      <c r="D114" s="16"/>
      <c r="E114" s="16"/>
      <c r="F114" s="16"/>
      <c r="G114" s="16"/>
      <c r="H114" s="16"/>
      <c r="I114" s="16"/>
      <c r="J114" s="16"/>
      <c r="K114" s="16"/>
      <c r="L114" s="16"/>
      <c r="M114" s="16"/>
      <c r="N114" s="16"/>
      <c r="O114" s="16"/>
    </row>
    <row r="115" spans="1:91" x14ac:dyDescent="0.2">
      <c r="A115" s="104"/>
      <c r="B115" s="16"/>
      <c r="C115" s="16"/>
      <c r="D115" s="16"/>
      <c r="E115" s="16"/>
      <c r="F115" s="16"/>
      <c r="G115" s="16"/>
      <c r="H115" s="16"/>
      <c r="I115" s="16"/>
      <c r="J115" s="16"/>
      <c r="K115" s="16"/>
      <c r="L115" s="16"/>
      <c r="M115" s="16"/>
      <c r="N115" s="16"/>
      <c r="O115" s="16"/>
    </row>
    <row r="116" spans="1:91" x14ac:dyDescent="0.2">
      <c r="A116" s="104"/>
      <c r="B116" s="16"/>
      <c r="C116" s="16"/>
      <c r="D116" s="16"/>
      <c r="E116" s="16"/>
      <c r="F116" s="16"/>
      <c r="G116" s="16"/>
      <c r="H116" s="16"/>
      <c r="I116" s="16"/>
      <c r="J116" s="16"/>
      <c r="K116" s="16"/>
      <c r="L116" s="16"/>
      <c r="M116" s="16"/>
      <c r="N116" s="16"/>
      <c r="O116" s="16"/>
    </row>
    <row r="117" spans="1:91" x14ac:dyDescent="0.2">
      <c r="A117" s="104"/>
      <c r="B117" s="16"/>
      <c r="C117" s="16"/>
      <c r="D117" s="16"/>
      <c r="E117" s="16"/>
      <c r="F117" s="16"/>
      <c r="G117" s="16"/>
      <c r="H117" s="16"/>
      <c r="I117" s="16"/>
      <c r="J117" s="16"/>
      <c r="K117" s="16"/>
      <c r="L117" s="16"/>
      <c r="M117" s="16"/>
      <c r="N117" s="16"/>
      <c r="O117" s="16"/>
    </row>
    <row r="118" spans="1:91" x14ac:dyDescent="0.2">
      <c r="A118" s="104"/>
      <c r="B118" s="16"/>
      <c r="C118" s="16"/>
      <c r="D118" s="16"/>
      <c r="E118" s="16"/>
      <c r="F118" s="16"/>
      <c r="G118" s="16"/>
      <c r="H118" s="16"/>
      <c r="I118" s="16"/>
      <c r="J118" s="16"/>
      <c r="K118" s="16"/>
      <c r="L118" s="16"/>
      <c r="M118" s="16"/>
      <c r="N118" s="16"/>
      <c r="O118" s="16"/>
    </row>
    <row r="119" spans="1:91" x14ac:dyDescent="0.2">
      <c r="A119" s="104"/>
      <c r="B119" s="16"/>
      <c r="C119" s="16"/>
      <c r="D119" s="16"/>
      <c r="E119" s="16"/>
      <c r="F119" s="16"/>
      <c r="G119" s="16"/>
      <c r="H119" s="16"/>
      <c r="I119" s="16"/>
      <c r="J119" s="16"/>
      <c r="K119" s="16"/>
      <c r="L119" s="16"/>
      <c r="M119" s="16"/>
      <c r="N119" s="16"/>
      <c r="O119" s="16"/>
    </row>
    <row r="120" spans="1:91" x14ac:dyDescent="0.2">
      <c r="A120" s="104"/>
      <c r="B120" s="16"/>
      <c r="C120" s="16"/>
      <c r="D120" s="16"/>
      <c r="E120" s="16"/>
      <c r="F120" s="16"/>
      <c r="G120" s="16"/>
      <c r="H120" s="16"/>
      <c r="I120" s="16"/>
      <c r="J120" s="16"/>
      <c r="K120" s="16"/>
      <c r="L120" s="16"/>
      <c r="M120" s="16"/>
      <c r="N120" s="16"/>
      <c r="O120" s="16"/>
    </row>
    <row r="121" spans="1:91" x14ac:dyDescent="0.2">
      <c r="A121" s="104"/>
      <c r="B121" s="16"/>
      <c r="C121" s="16"/>
      <c r="D121" s="16"/>
      <c r="E121" s="16"/>
      <c r="F121" s="16"/>
      <c r="G121" s="16"/>
      <c r="H121" s="16"/>
      <c r="I121" s="16"/>
      <c r="J121" s="16"/>
      <c r="K121" s="16"/>
      <c r="L121" s="16"/>
      <c r="M121" s="16"/>
      <c r="N121" s="16"/>
      <c r="O121" s="16"/>
    </row>
    <row r="122" spans="1:91" x14ac:dyDescent="0.2">
      <c r="A122" s="104"/>
      <c r="B122" s="16"/>
      <c r="C122" s="16"/>
      <c r="D122" s="16"/>
      <c r="E122" s="16"/>
      <c r="F122" s="16"/>
      <c r="G122" s="16"/>
      <c r="H122" s="16"/>
      <c r="I122" s="16"/>
      <c r="J122" s="16"/>
      <c r="K122" s="16"/>
      <c r="L122" s="16"/>
      <c r="M122" s="16"/>
      <c r="N122" s="16"/>
      <c r="O122" s="16"/>
    </row>
    <row r="123" spans="1:91" x14ac:dyDescent="0.2">
      <c r="A123" s="104"/>
      <c r="B123" s="16"/>
      <c r="C123" s="16"/>
      <c r="D123" s="16"/>
      <c r="E123" s="16"/>
      <c r="F123" s="16"/>
      <c r="G123" s="16"/>
      <c r="H123" s="16"/>
      <c r="I123" s="16"/>
      <c r="J123" s="16"/>
      <c r="K123" s="16"/>
      <c r="L123" s="16"/>
      <c r="M123" s="16"/>
      <c r="N123" s="16"/>
      <c r="O123" s="16"/>
    </row>
    <row r="124" spans="1:91" x14ac:dyDescent="0.2">
      <c r="A124" s="104"/>
      <c r="B124" s="16"/>
      <c r="C124" s="16"/>
      <c r="D124" s="16"/>
      <c r="E124" s="16"/>
      <c r="F124" s="16"/>
      <c r="G124" s="16"/>
      <c r="H124" s="16"/>
      <c r="I124" s="16"/>
      <c r="J124" s="16"/>
      <c r="K124" s="16"/>
      <c r="L124" s="16"/>
      <c r="M124" s="16"/>
      <c r="N124" s="16"/>
      <c r="O124" s="16"/>
    </row>
    <row r="125" spans="1:91" x14ac:dyDescent="0.2">
      <c r="A125" s="104"/>
      <c r="B125" s="16"/>
      <c r="C125" s="16"/>
      <c r="D125" s="16"/>
      <c r="E125" s="16"/>
      <c r="F125" s="16"/>
      <c r="G125" s="16"/>
      <c r="H125" s="16"/>
      <c r="I125" s="16"/>
      <c r="J125" s="16"/>
      <c r="K125" s="16"/>
      <c r="L125" s="16"/>
      <c r="M125" s="16"/>
      <c r="N125" s="16"/>
      <c r="O125" s="16"/>
    </row>
    <row r="126" spans="1:91" x14ac:dyDescent="0.2">
      <c r="A126" s="104"/>
      <c r="B126" s="16"/>
      <c r="C126" s="16"/>
      <c r="D126" s="16"/>
      <c r="E126" s="16"/>
      <c r="F126" s="16"/>
      <c r="G126" s="16"/>
      <c r="H126" s="16"/>
      <c r="I126" s="16"/>
      <c r="J126" s="16"/>
      <c r="K126" s="16"/>
      <c r="L126" s="16"/>
      <c r="M126" s="16"/>
      <c r="N126" s="16"/>
      <c r="O126" s="16"/>
      <c r="P126" s="120"/>
    </row>
    <row r="127" spans="1:91" x14ac:dyDescent="0.2">
      <c r="A127" s="121"/>
      <c r="B127" s="16"/>
      <c r="C127" s="16"/>
      <c r="D127" s="16"/>
      <c r="E127" s="16"/>
      <c r="F127" s="16"/>
      <c r="G127" s="16"/>
      <c r="H127" s="16"/>
      <c r="I127" s="16"/>
      <c r="J127" s="16"/>
      <c r="K127" s="16"/>
      <c r="L127" s="16"/>
      <c r="M127" s="16"/>
      <c r="N127" s="16"/>
      <c r="O127" s="16"/>
      <c r="P127" s="120"/>
    </row>
    <row r="128" spans="1:91" ht="15" customHeight="1" x14ac:dyDescent="0.2">
      <c r="P128" s="7"/>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row>
    <row r="129" spans="1:91" ht="15" customHeight="1" x14ac:dyDescent="0.2">
      <c r="A129" s="104"/>
      <c r="B129" s="104"/>
      <c r="C129" s="104"/>
      <c r="D129" s="104"/>
      <c r="E129" s="104"/>
      <c r="F129" s="104"/>
      <c r="G129" s="104"/>
      <c r="H129" s="104"/>
      <c r="I129" s="104"/>
      <c r="J129" s="104"/>
      <c r="K129" s="104"/>
      <c r="L129" s="104"/>
      <c r="M129" s="104"/>
      <c r="N129" s="104"/>
      <c r="O129" s="104"/>
      <c r="P129" s="104"/>
      <c r="Q129" s="104"/>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row>
    <row r="130" spans="1:91" ht="15" customHeight="1" x14ac:dyDescent="0.2">
      <c r="A130" s="104"/>
      <c r="B130" s="104"/>
      <c r="C130" s="104"/>
      <c r="D130" s="104"/>
      <c r="E130" s="104"/>
      <c r="F130" s="104"/>
      <c r="G130" s="104"/>
      <c r="H130" s="104"/>
      <c r="I130" s="104"/>
      <c r="J130" s="104"/>
      <c r="K130" s="104"/>
      <c r="L130" s="104"/>
      <c r="M130" s="104"/>
      <c r="N130" s="104"/>
      <c r="O130" s="104"/>
      <c r="P130" s="104"/>
      <c r="Q130" s="104"/>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row>
    <row r="131" spans="1:91" ht="15" customHeight="1" x14ac:dyDescent="0.2">
      <c r="A131" s="104"/>
      <c r="B131" s="104"/>
      <c r="C131" s="104"/>
      <c r="D131" s="104"/>
      <c r="E131" s="104"/>
      <c r="F131" s="104"/>
      <c r="G131" s="104"/>
      <c r="H131" s="104"/>
      <c r="I131" s="104"/>
      <c r="J131" s="104"/>
      <c r="K131" s="104"/>
      <c r="L131" s="104"/>
      <c r="M131" s="104"/>
      <c r="N131" s="104"/>
      <c r="O131" s="104"/>
      <c r="P131" s="104"/>
      <c r="Q131" s="104"/>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row>
    <row r="132" spans="1:91" ht="15" customHeight="1" x14ac:dyDescent="0.2">
      <c r="A132" s="104"/>
      <c r="B132" s="104"/>
      <c r="C132" s="104"/>
      <c r="D132" s="104"/>
      <c r="E132" s="104"/>
      <c r="F132" s="104"/>
      <c r="G132" s="104"/>
      <c r="H132" s="104"/>
      <c r="I132" s="104"/>
      <c r="J132" s="104"/>
      <c r="K132" s="104"/>
      <c r="L132" s="104"/>
      <c r="M132" s="104"/>
      <c r="N132" s="104"/>
      <c r="O132" s="104"/>
      <c r="P132" s="104"/>
      <c r="Q132" s="104"/>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row>
    <row r="133" spans="1:91" ht="15" customHeight="1" x14ac:dyDescent="0.2">
      <c r="A133" s="104"/>
      <c r="B133" s="104"/>
      <c r="C133" s="104"/>
      <c r="D133" s="104"/>
      <c r="E133" s="104"/>
      <c r="F133" s="104"/>
      <c r="G133" s="104"/>
      <c r="H133" s="104"/>
      <c r="I133" s="104"/>
      <c r="J133" s="104"/>
      <c r="K133" s="104"/>
      <c r="L133" s="104"/>
      <c r="M133" s="104"/>
      <c r="N133" s="104"/>
      <c r="O133" s="104"/>
      <c r="P133" s="104"/>
      <c r="Q133" s="104"/>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row>
    <row r="134" spans="1:91" ht="15" customHeight="1" x14ac:dyDescent="0.2">
      <c r="A134" s="104"/>
      <c r="B134" s="104"/>
      <c r="C134" s="104"/>
      <c r="D134" s="104"/>
      <c r="E134" s="104"/>
      <c r="F134" s="104"/>
      <c r="G134" s="104"/>
      <c r="H134" s="104"/>
      <c r="I134" s="104"/>
      <c r="J134" s="104"/>
      <c r="K134" s="104"/>
      <c r="L134" s="104"/>
      <c r="M134" s="104"/>
      <c r="N134" s="104"/>
      <c r="O134" s="104"/>
      <c r="P134" s="104"/>
      <c r="Q134" s="104"/>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row>
    <row r="135" spans="1:91" ht="15" customHeight="1" x14ac:dyDescent="0.2">
      <c r="A135" s="104"/>
      <c r="B135" s="104"/>
      <c r="C135" s="104"/>
      <c r="D135" s="104"/>
      <c r="E135" s="104"/>
      <c r="F135" s="104"/>
      <c r="G135" s="104"/>
      <c r="H135" s="104"/>
      <c r="I135" s="104"/>
      <c r="J135" s="104"/>
      <c r="K135" s="104"/>
      <c r="L135" s="104"/>
      <c r="M135" s="104"/>
      <c r="N135" s="104"/>
      <c r="O135" s="104"/>
      <c r="P135" s="104"/>
      <c r="Q135" s="104"/>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row>
    <row r="136" spans="1:91" ht="15" customHeight="1" x14ac:dyDescent="0.2">
      <c r="A136" s="104"/>
      <c r="B136" s="104"/>
      <c r="C136" s="104"/>
      <c r="D136" s="104"/>
      <c r="E136" s="104"/>
      <c r="F136" s="104"/>
      <c r="G136" s="104"/>
      <c r="H136" s="104"/>
      <c r="I136" s="104"/>
      <c r="J136" s="104"/>
      <c r="K136" s="104"/>
      <c r="L136" s="104"/>
      <c r="M136" s="104"/>
      <c r="N136" s="104"/>
      <c r="O136" s="104"/>
      <c r="P136" s="104"/>
      <c r="Q136" s="104"/>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row>
    <row r="137" spans="1:91" ht="15" customHeight="1" x14ac:dyDescent="0.2">
      <c r="A137" s="104"/>
      <c r="B137" s="104"/>
      <c r="C137" s="104"/>
      <c r="D137" s="104"/>
      <c r="E137" s="104"/>
      <c r="F137" s="104"/>
      <c r="G137" s="104"/>
      <c r="H137" s="104"/>
      <c r="I137" s="104"/>
      <c r="J137" s="104"/>
      <c r="K137" s="104"/>
      <c r="L137" s="104"/>
      <c r="M137" s="104"/>
      <c r="N137" s="104"/>
      <c r="O137" s="104"/>
      <c r="P137" s="104"/>
      <c r="Q137" s="104"/>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row>
    <row r="138" spans="1:91" ht="15" customHeight="1" x14ac:dyDescent="0.2">
      <c r="A138" s="104"/>
      <c r="B138" s="104"/>
      <c r="C138" s="104"/>
      <c r="D138" s="104"/>
      <c r="E138" s="104"/>
      <c r="F138" s="104"/>
      <c r="G138" s="104"/>
      <c r="H138" s="104"/>
      <c r="I138" s="104"/>
      <c r="J138" s="104"/>
      <c r="K138" s="104"/>
      <c r="L138" s="104"/>
      <c r="M138" s="104"/>
      <c r="N138" s="104"/>
      <c r="O138" s="104"/>
      <c r="P138" s="104"/>
      <c r="Q138" s="104"/>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row>
    <row r="139" spans="1:91" ht="15" customHeight="1" x14ac:dyDescent="0.2">
      <c r="A139" s="104"/>
      <c r="B139" s="104"/>
      <c r="C139" s="104"/>
      <c r="D139" s="104"/>
      <c r="E139" s="104"/>
      <c r="F139" s="104"/>
      <c r="G139" s="104"/>
      <c r="H139" s="104"/>
      <c r="I139" s="104"/>
      <c r="J139" s="104"/>
      <c r="K139" s="104"/>
      <c r="L139" s="104"/>
      <c r="M139" s="104"/>
      <c r="N139" s="104"/>
      <c r="O139" s="104"/>
      <c r="P139" s="104"/>
      <c r="Q139" s="104"/>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row>
    <row r="140" spans="1:91" ht="15" customHeight="1" x14ac:dyDescent="0.2">
      <c r="A140" s="104"/>
      <c r="B140" s="104"/>
      <c r="C140" s="104"/>
      <c r="D140" s="104"/>
      <c r="E140" s="104"/>
      <c r="F140" s="104"/>
      <c r="G140" s="104"/>
      <c r="H140" s="104"/>
      <c r="I140" s="104"/>
      <c r="J140" s="104"/>
      <c r="K140" s="104"/>
      <c r="L140" s="104"/>
      <c r="M140" s="104"/>
      <c r="N140" s="104"/>
      <c r="O140" s="104"/>
      <c r="P140" s="104"/>
      <c r="Q140" s="104"/>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row>
    <row r="141" spans="1:91" ht="15" customHeight="1" x14ac:dyDescent="0.2">
      <c r="A141" s="104"/>
      <c r="B141" s="104"/>
      <c r="C141" s="104"/>
      <c r="D141" s="104"/>
      <c r="E141" s="104"/>
      <c r="F141" s="104"/>
      <c r="G141" s="104"/>
      <c r="H141" s="104"/>
      <c r="I141" s="104"/>
      <c r="J141" s="104"/>
      <c r="K141" s="104"/>
      <c r="L141" s="104"/>
      <c r="M141" s="104"/>
      <c r="N141" s="104"/>
      <c r="O141" s="104"/>
      <c r="P141" s="104"/>
      <c r="Q141" s="104"/>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row>
    <row r="142" spans="1:91" ht="15" customHeight="1" x14ac:dyDescent="0.2">
      <c r="A142" s="104"/>
      <c r="B142" s="104"/>
      <c r="C142" s="104"/>
      <c r="D142" s="104"/>
      <c r="E142" s="104"/>
      <c r="F142" s="104"/>
      <c r="G142" s="104"/>
      <c r="H142" s="104"/>
      <c r="I142" s="104"/>
      <c r="J142" s="104"/>
      <c r="K142" s="104"/>
      <c r="L142" s="104"/>
      <c r="M142" s="104"/>
      <c r="N142" s="104"/>
      <c r="O142" s="104"/>
      <c r="P142" s="104"/>
      <c r="Q142" s="104"/>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row>
    <row r="143" spans="1:91" ht="15" customHeight="1" x14ac:dyDescent="0.2">
      <c r="A143" s="104"/>
      <c r="B143" s="104"/>
      <c r="C143" s="104"/>
      <c r="D143" s="104"/>
      <c r="E143" s="104"/>
      <c r="F143" s="104"/>
      <c r="G143" s="104"/>
      <c r="H143" s="104"/>
      <c r="I143" s="104"/>
      <c r="J143" s="104"/>
      <c r="K143" s="104"/>
      <c r="L143" s="104"/>
      <c r="M143" s="104"/>
      <c r="N143" s="104"/>
      <c r="O143" s="104"/>
      <c r="P143" s="104"/>
      <c r="Q143" s="104"/>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row>
    <row r="144" spans="1:91" ht="15" customHeight="1" x14ac:dyDescent="0.2">
      <c r="A144" s="104"/>
      <c r="B144" s="104"/>
      <c r="C144" s="104"/>
      <c r="D144" s="104"/>
      <c r="E144" s="104"/>
      <c r="F144" s="104"/>
      <c r="G144" s="104"/>
      <c r="H144" s="104"/>
      <c r="I144" s="104"/>
      <c r="J144" s="104"/>
      <c r="K144" s="104"/>
      <c r="L144" s="104"/>
      <c r="M144" s="104"/>
      <c r="N144" s="104"/>
      <c r="O144" s="104"/>
      <c r="P144" s="104"/>
      <c r="Q144" s="104"/>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row>
    <row r="145" spans="1:91" ht="15" customHeight="1" x14ac:dyDescent="0.2">
      <c r="A145" s="104"/>
      <c r="B145" s="104"/>
      <c r="C145" s="104"/>
      <c r="D145" s="104"/>
      <c r="E145" s="104"/>
      <c r="F145" s="104"/>
      <c r="G145" s="104"/>
      <c r="H145" s="104"/>
      <c r="I145" s="104"/>
      <c r="J145" s="104"/>
      <c r="K145" s="104"/>
      <c r="L145" s="104"/>
      <c r="M145" s="104"/>
      <c r="N145" s="104"/>
      <c r="O145" s="104"/>
      <c r="P145" s="104"/>
      <c r="Q145" s="104"/>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row>
    <row r="146" spans="1:91" ht="15" customHeight="1" x14ac:dyDescent="0.2">
      <c r="A146" s="104"/>
      <c r="B146" s="104"/>
      <c r="C146" s="104"/>
      <c r="D146" s="104"/>
      <c r="E146" s="104"/>
      <c r="F146" s="104"/>
      <c r="G146" s="104"/>
      <c r="H146" s="104"/>
      <c r="I146" s="104"/>
      <c r="J146" s="104"/>
      <c r="K146" s="104"/>
      <c r="L146" s="104"/>
      <c r="M146" s="104"/>
      <c r="N146" s="104"/>
      <c r="O146" s="104"/>
      <c r="P146" s="104"/>
      <c r="Q146" s="104"/>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row>
    <row r="147" spans="1:91" ht="15" customHeight="1" x14ac:dyDescent="0.2">
      <c r="A147" s="104"/>
      <c r="B147" s="104"/>
      <c r="C147" s="104"/>
      <c r="D147" s="104"/>
      <c r="E147" s="104"/>
      <c r="F147" s="104"/>
      <c r="G147" s="104"/>
      <c r="H147" s="104"/>
      <c r="I147" s="104"/>
      <c r="J147" s="104"/>
      <c r="K147" s="104"/>
      <c r="L147" s="104"/>
      <c r="M147" s="104"/>
      <c r="N147" s="104"/>
      <c r="O147" s="104"/>
      <c r="P147" s="104"/>
      <c r="Q147" s="104"/>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row>
    <row r="148" spans="1:91" ht="15" customHeight="1" x14ac:dyDescent="0.2">
      <c r="A148" s="104"/>
      <c r="B148" s="104"/>
      <c r="C148" s="104"/>
      <c r="D148" s="104"/>
      <c r="E148" s="104"/>
      <c r="F148" s="104"/>
      <c r="G148" s="104"/>
      <c r="H148" s="104"/>
      <c r="I148" s="104"/>
      <c r="J148" s="104"/>
      <c r="K148" s="104"/>
      <c r="L148" s="104"/>
      <c r="M148" s="104"/>
      <c r="N148" s="104"/>
      <c r="O148" s="104"/>
      <c r="P148" s="104"/>
      <c r="Q148" s="104"/>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row>
    <row r="149" spans="1:91" ht="15" customHeight="1" x14ac:dyDescent="0.2">
      <c r="A149" s="104"/>
      <c r="B149" s="104"/>
      <c r="C149" s="104"/>
      <c r="D149" s="104"/>
      <c r="E149" s="104"/>
      <c r="F149" s="104"/>
      <c r="G149" s="104"/>
      <c r="H149" s="104"/>
      <c r="I149" s="104"/>
      <c r="J149" s="104"/>
      <c r="K149" s="104"/>
      <c r="L149" s="104"/>
      <c r="M149" s="104"/>
      <c r="N149" s="104"/>
      <c r="O149" s="104"/>
      <c r="P149" s="104"/>
      <c r="Q149" s="104"/>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row>
    <row r="150" spans="1:91" ht="15" customHeight="1" x14ac:dyDescent="0.2">
      <c r="A150" s="104"/>
      <c r="B150" s="104"/>
      <c r="C150" s="104"/>
      <c r="D150" s="104"/>
      <c r="E150" s="104"/>
      <c r="F150" s="104"/>
      <c r="G150" s="104"/>
      <c r="H150" s="104"/>
      <c r="I150" s="104"/>
      <c r="J150" s="104"/>
      <c r="K150" s="104"/>
      <c r="L150" s="104"/>
      <c r="M150" s="104"/>
      <c r="N150" s="104"/>
      <c r="O150" s="104"/>
      <c r="P150" s="104"/>
      <c r="Q150" s="104"/>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row>
    <row r="151" spans="1:91" ht="15" customHeight="1" x14ac:dyDescent="0.2">
      <c r="A151" s="104"/>
      <c r="B151" s="104"/>
      <c r="C151" s="104"/>
      <c r="D151" s="104"/>
      <c r="E151" s="104"/>
      <c r="F151" s="104"/>
      <c r="G151" s="104"/>
      <c r="H151" s="104"/>
      <c r="I151" s="104"/>
      <c r="J151" s="104"/>
      <c r="K151" s="104"/>
      <c r="L151" s="104"/>
      <c r="M151" s="104"/>
      <c r="N151" s="104"/>
      <c r="O151" s="104"/>
      <c r="P151" s="104"/>
      <c r="Q151" s="104"/>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row>
    <row r="152" spans="1:91" ht="15" customHeight="1" x14ac:dyDescent="0.2">
      <c r="A152" s="104"/>
      <c r="B152" s="104"/>
      <c r="C152" s="104"/>
      <c r="D152" s="104"/>
      <c r="E152" s="104"/>
      <c r="F152" s="104"/>
      <c r="G152" s="104"/>
      <c r="H152" s="104"/>
      <c r="I152" s="104"/>
      <c r="J152" s="104"/>
      <c r="K152" s="104"/>
      <c r="L152" s="104"/>
      <c r="M152" s="104"/>
      <c r="N152" s="104"/>
      <c r="O152" s="104"/>
      <c r="P152" s="104"/>
      <c r="Q152" s="104"/>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row>
    <row r="153" spans="1:91" ht="15" customHeight="1" x14ac:dyDescent="0.2">
      <c r="A153" s="104"/>
      <c r="B153" s="104"/>
      <c r="C153" s="104"/>
      <c r="D153" s="104"/>
      <c r="E153" s="104"/>
      <c r="F153" s="104"/>
      <c r="G153" s="104"/>
      <c r="H153" s="104"/>
      <c r="I153" s="104"/>
      <c r="J153" s="104"/>
      <c r="K153" s="104"/>
      <c r="L153" s="104"/>
      <c r="M153" s="104"/>
      <c r="N153" s="104"/>
      <c r="O153" s="104"/>
      <c r="P153" s="104"/>
      <c r="Q153" s="104"/>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row>
    <row r="154" spans="1:91" ht="15" customHeight="1" x14ac:dyDescent="0.2">
      <c r="A154" s="104"/>
      <c r="B154" s="104"/>
      <c r="C154" s="104"/>
      <c r="D154" s="104"/>
      <c r="E154" s="104"/>
      <c r="F154" s="104"/>
      <c r="G154" s="104"/>
      <c r="H154" s="104"/>
      <c r="I154" s="104"/>
      <c r="J154" s="104"/>
      <c r="K154" s="104"/>
      <c r="L154" s="104"/>
      <c r="M154" s="104"/>
      <c r="N154" s="104"/>
      <c r="O154" s="104"/>
      <c r="P154" s="104"/>
      <c r="Q154" s="104"/>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row>
    <row r="155" spans="1:91" ht="15" customHeight="1" x14ac:dyDescent="0.2">
      <c r="A155" s="104"/>
      <c r="B155" s="104"/>
      <c r="C155" s="104"/>
      <c r="D155" s="104"/>
      <c r="E155" s="104"/>
      <c r="F155" s="104"/>
      <c r="G155" s="104"/>
      <c r="H155" s="104"/>
      <c r="I155" s="104"/>
      <c r="J155" s="104"/>
      <c r="K155" s="104"/>
      <c r="L155" s="104"/>
      <c r="M155" s="104"/>
      <c r="N155" s="104"/>
      <c r="O155" s="104"/>
      <c r="P155" s="104"/>
      <c r="Q155" s="104"/>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row>
    <row r="156" spans="1:91" ht="15" customHeight="1" x14ac:dyDescent="0.2">
      <c r="A156" s="104"/>
      <c r="B156" s="104"/>
      <c r="C156" s="104"/>
      <c r="D156" s="104"/>
      <c r="E156" s="104"/>
      <c r="F156" s="104"/>
      <c r="G156" s="104"/>
      <c r="H156" s="104"/>
      <c r="I156" s="104"/>
      <c r="J156" s="104"/>
      <c r="K156" s="104"/>
      <c r="L156" s="104"/>
      <c r="M156" s="104"/>
      <c r="N156" s="104"/>
      <c r="O156" s="104"/>
      <c r="P156" s="104"/>
      <c r="Q156" s="104"/>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row>
    <row r="157" spans="1:91" s="106" customFormat="1" ht="15" customHeight="1" x14ac:dyDescent="0.2">
      <c r="A157" s="104"/>
      <c r="B157" s="104"/>
      <c r="C157" s="104"/>
      <c r="D157" s="104"/>
      <c r="E157" s="104"/>
      <c r="F157" s="104"/>
      <c r="G157" s="104"/>
      <c r="H157" s="104"/>
      <c r="I157" s="104"/>
      <c r="J157" s="104"/>
      <c r="K157" s="104"/>
      <c r="L157" s="104"/>
      <c r="M157" s="104"/>
      <c r="N157" s="104"/>
      <c r="O157" s="104"/>
      <c r="P157" s="104"/>
      <c r="Q157" s="104"/>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row>
    <row r="158" spans="1:91" s="106" customFormat="1" ht="15" customHeight="1" x14ac:dyDescent="0.2">
      <c r="A158" s="104"/>
      <c r="B158" s="104"/>
      <c r="C158" s="104"/>
      <c r="D158" s="104"/>
      <c r="E158" s="104"/>
      <c r="F158" s="104"/>
      <c r="G158" s="104"/>
      <c r="H158" s="104"/>
      <c r="I158" s="104"/>
      <c r="J158" s="104"/>
      <c r="K158" s="104"/>
      <c r="L158" s="104"/>
      <c r="M158" s="104"/>
      <c r="N158" s="104"/>
      <c r="O158" s="104"/>
      <c r="P158" s="104"/>
      <c r="Q158" s="104"/>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row>
    <row r="159" spans="1:91" s="106" customFormat="1" ht="15" customHeight="1" x14ac:dyDescent="0.2">
      <c r="A159" s="104"/>
      <c r="B159" s="104"/>
      <c r="C159" s="104"/>
      <c r="D159" s="104"/>
      <c r="E159" s="104"/>
      <c r="F159" s="104"/>
      <c r="G159" s="104"/>
      <c r="H159" s="104"/>
      <c r="I159" s="104"/>
      <c r="J159" s="104"/>
      <c r="K159" s="104"/>
      <c r="L159" s="104"/>
      <c r="M159" s="104"/>
      <c r="N159" s="104"/>
      <c r="O159" s="104"/>
      <c r="P159" s="104"/>
      <c r="Q159" s="104"/>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row>
    <row r="160" spans="1:91" ht="15" customHeight="1" x14ac:dyDescent="0.2">
      <c r="A160" s="104"/>
      <c r="B160" s="104"/>
      <c r="C160" s="104"/>
      <c r="D160" s="104"/>
      <c r="E160" s="104"/>
      <c r="F160" s="104"/>
      <c r="G160" s="104"/>
      <c r="H160" s="104"/>
      <c r="I160" s="104"/>
      <c r="J160" s="104"/>
      <c r="K160" s="104"/>
      <c r="L160" s="104"/>
      <c r="M160" s="104"/>
      <c r="N160" s="104"/>
      <c r="O160" s="104"/>
      <c r="P160" s="104"/>
      <c r="Q160" s="104"/>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row>
    <row r="161" spans="1:91" ht="15" customHeight="1" x14ac:dyDescent="0.2">
      <c r="A161" s="104"/>
      <c r="B161" s="104"/>
      <c r="C161" s="104"/>
      <c r="D161" s="104"/>
      <c r="E161" s="104"/>
      <c r="F161" s="104"/>
      <c r="G161" s="104"/>
      <c r="H161" s="104"/>
      <c r="I161" s="104"/>
      <c r="J161" s="104"/>
      <c r="K161" s="104"/>
      <c r="L161" s="104"/>
      <c r="M161" s="104"/>
      <c r="N161" s="104"/>
      <c r="O161" s="104"/>
      <c r="P161" s="104"/>
      <c r="Q161" s="104"/>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row>
    <row r="162" spans="1:91" ht="15" customHeight="1" x14ac:dyDescent="0.2">
      <c r="A162" s="104"/>
      <c r="B162" s="104"/>
      <c r="C162" s="104"/>
      <c r="D162" s="104"/>
      <c r="E162" s="104"/>
      <c r="F162" s="104"/>
      <c r="G162" s="104"/>
      <c r="H162" s="104"/>
      <c r="I162" s="104"/>
      <c r="J162" s="104"/>
      <c r="K162" s="104"/>
      <c r="L162" s="104"/>
      <c r="M162" s="104"/>
      <c r="N162" s="104"/>
      <c r="O162" s="104"/>
      <c r="P162" s="104"/>
      <c r="Q162" s="104"/>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row>
    <row r="163" spans="1:91" ht="15" customHeight="1" x14ac:dyDescent="0.2">
      <c r="A163" s="104"/>
      <c r="B163" s="104"/>
      <c r="C163" s="104"/>
      <c r="D163" s="104"/>
      <c r="E163" s="104"/>
      <c r="F163" s="104"/>
      <c r="G163" s="104"/>
      <c r="H163" s="104"/>
      <c r="I163" s="104"/>
      <c r="J163" s="104"/>
      <c r="K163" s="104"/>
      <c r="L163" s="104"/>
      <c r="M163" s="104"/>
      <c r="N163" s="104"/>
      <c r="O163" s="104"/>
      <c r="P163" s="104"/>
      <c r="Q163" s="104"/>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row>
    <row r="164" spans="1:91" ht="15" customHeight="1" x14ac:dyDescent="0.2">
      <c r="A164" s="104"/>
      <c r="B164" s="104"/>
      <c r="C164" s="104"/>
      <c r="D164" s="104"/>
      <c r="E164" s="104"/>
      <c r="F164" s="104"/>
      <c r="G164" s="104"/>
      <c r="H164" s="104"/>
      <c r="I164" s="104"/>
      <c r="J164" s="104"/>
      <c r="K164" s="104"/>
      <c r="L164" s="104"/>
      <c r="M164" s="104"/>
      <c r="N164" s="104"/>
      <c r="O164" s="104"/>
      <c r="P164" s="104"/>
      <c r="Q164" s="104"/>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row>
    <row r="165" spans="1:91" ht="15" customHeight="1" x14ac:dyDescent="0.2">
      <c r="A165" s="104"/>
      <c r="B165" s="104"/>
      <c r="C165" s="104"/>
      <c r="D165" s="104"/>
      <c r="E165" s="104"/>
      <c r="F165" s="104"/>
      <c r="G165" s="104"/>
      <c r="H165" s="104"/>
      <c r="I165" s="104"/>
      <c r="J165" s="104"/>
      <c r="K165" s="104"/>
      <c r="L165" s="104"/>
      <c r="M165" s="104"/>
      <c r="N165" s="104"/>
      <c r="O165" s="104"/>
      <c r="P165" s="104"/>
      <c r="Q165" s="104"/>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row>
    <row r="166" spans="1:91" ht="15" customHeight="1" x14ac:dyDescent="0.2">
      <c r="A166" s="104"/>
      <c r="B166" s="104"/>
      <c r="C166" s="104"/>
      <c r="D166" s="104"/>
      <c r="E166" s="104"/>
      <c r="F166" s="104"/>
      <c r="G166" s="104"/>
      <c r="H166" s="104"/>
      <c r="I166" s="104"/>
      <c r="J166" s="104"/>
      <c r="K166" s="104"/>
      <c r="L166" s="104"/>
      <c r="M166" s="104"/>
      <c r="N166" s="104"/>
      <c r="O166" s="104"/>
      <c r="P166" s="104"/>
      <c r="Q166" s="104"/>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row>
    <row r="167" spans="1:91" ht="15" customHeight="1" x14ac:dyDescent="0.2">
      <c r="A167" s="104"/>
      <c r="B167" s="104"/>
      <c r="C167" s="104"/>
      <c r="D167" s="104"/>
      <c r="E167" s="104"/>
      <c r="F167" s="104"/>
      <c r="G167" s="104"/>
      <c r="H167" s="104"/>
      <c r="I167" s="104"/>
      <c r="J167" s="104"/>
      <c r="K167" s="104"/>
      <c r="L167" s="104"/>
      <c r="M167" s="104"/>
      <c r="N167" s="104"/>
      <c r="O167" s="104"/>
      <c r="P167" s="104"/>
      <c r="Q167" s="104"/>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row>
    <row r="168" spans="1:91" ht="15" customHeight="1" x14ac:dyDescent="0.2">
      <c r="A168" s="104"/>
      <c r="B168" s="104"/>
      <c r="C168" s="104"/>
      <c r="D168" s="104"/>
      <c r="E168" s="104"/>
      <c r="F168" s="104"/>
      <c r="G168" s="104"/>
      <c r="H168" s="104"/>
      <c r="I168" s="104"/>
      <c r="J168" s="104"/>
      <c r="K168" s="104"/>
      <c r="L168" s="104"/>
      <c r="M168" s="104"/>
      <c r="N168" s="104"/>
      <c r="O168" s="104"/>
      <c r="P168" s="104"/>
      <c r="Q168" s="104"/>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row>
    <row r="169" spans="1:91" ht="15" customHeight="1" x14ac:dyDescent="0.2">
      <c r="A169" s="104"/>
      <c r="B169" s="104"/>
      <c r="C169" s="104"/>
      <c r="D169" s="104"/>
      <c r="E169" s="104"/>
      <c r="F169" s="104"/>
      <c r="G169" s="104"/>
      <c r="H169" s="104"/>
      <c r="I169" s="104"/>
      <c r="J169" s="104"/>
      <c r="K169" s="104"/>
      <c r="L169" s="104"/>
      <c r="M169" s="104"/>
      <c r="N169" s="104"/>
      <c r="O169" s="104"/>
      <c r="P169" s="104"/>
      <c r="Q169" s="104"/>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row>
    <row r="170" spans="1:91" ht="15" customHeight="1" x14ac:dyDescent="0.2">
      <c r="A170" s="104"/>
      <c r="B170" s="104"/>
      <c r="C170" s="104"/>
      <c r="D170" s="104"/>
      <c r="E170" s="104"/>
      <c r="F170" s="104"/>
      <c r="G170" s="104"/>
      <c r="H170" s="104"/>
      <c r="I170" s="104"/>
      <c r="J170" s="104"/>
      <c r="K170" s="104"/>
      <c r="L170" s="104"/>
      <c r="M170" s="104"/>
      <c r="N170" s="104"/>
      <c r="O170" s="104"/>
      <c r="P170" s="104"/>
      <c r="Q170" s="104"/>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row>
    <row r="171" spans="1:91" ht="15" customHeight="1" x14ac:dyDescent="0.2">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row>
    <row r="172" spans="1:91" ht="15" customHeight="1" x14ac:dyDescent="0.2">
      <c r="P172" s="120"/>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row>
    <row r="173" spans="1:91" ht="15" customHeight="1" x14ac:dyDescent="0.2">
      <c r="P173" s="120"/>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row>
    <row r="174" spans="1:91" ht="15" customHeight="1" x14ac:dyDescent="0.2">
      <c r="P174" s="7"/>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row>
    <row r="175" spans="1:91" ht="15" customHeight="1" x14ac:dyDescent="0.2">
      <c r="P175" s="7"/>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row>
    <row r="176" spans="1:91" ht="15" customHeight="1" x14ac:dyDescent="0.2">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row>
    <row r="177" spans="16:92" ht="15" customHeight="1" x14ac:dyDescent="0.2">
      <c r="P177" s="120"/>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row>
    <row r="178" spans="16:92" ht="15" customHeight="1" x14ac:dyDescent="0.2">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row>
    <row r="179" spans="16:92" ht="15" customHeight="1" x14ac:dyDescent="0.2">
      <c r="P179" s="7"/>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row>
    <row r="180" spans="16:92" ht="15" customHeight="1" x14ac:dyDescent="0.2">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row>
    <row r="181" spans="16:92" ht="15" customHeight="1" x14ac:dyDescent="0.2">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row>
    <row r="182" spans="16:92" ht="15" customHeight="1" x14ac:dyDescent="0.2">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row>
    <row r="183" spans="16:92" ht="15" customHeight="1" x14ac:dyDescent="0.2">
      <c r="P183" s="10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row>
    <row r="184" spans="16:92" ht="15" customHeight="1" x14ac:dyDescent="0.2">
      <c r="P184" s="10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row>
    <row r="185" spans="16:92" ht="15" customHeight="1" x14ac:dyDescent="0.2">
      <c r="P185" s="123"/>
      <c r="Q185" s="107"/>
      <c r="R185" s="107"/>
      <c r="S185" s="107"/>
      <c r="T185" s="107"/>
      <c r="U185" s="107"/>
      <c r="V185" s="122"/>
      <c r="W185" s="122"/>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22"/>
      <c r="BI185" s="122"/>
      <c r="BJ185" s="107"/>
      <c r="BK185" s="107"/>
      <c r="BL185" s="107"/>
      <c r="BM185" s="107"/>
      <c r="BN185" s="107"/>
      <c r="BO185" s="107"/>
      <c r="BP185" s="122"/>
      <c r="BQ185" s="122"/>
      <c r="BR185" s="107"/>
      <c r="BS185" s="107"/>
      <c r="BT185" s="107"/>
      <c r="BU185" s="107"/>
    </row>
    <row r="186" spans="16:92" ht="15" customHeight="1" x14ac:dyDescent="0.2">
      <c r="P186" s="123"/>
      <c r="Q186" s="107"/>
      <c r="R186" s="107"/>
      <c r="S186" s="107"/>
      <c r="T186" s="107"/>
      <c r="U186" s="107"/>
      <c r="V186" s="122"/>
      <c r="W186" s="122"/>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22"/>
      <c r="BI186" s="122"/>
      <c r="BJ186" s="107"/>
      <c r="BK186" s="107"/>
      <c r="BL186" s="107"/>
      <c r="BM186" s="107"/>
      <c r="BN186" s="107"/>
      <c r="BO186" s="107"/>
      <c r="BP186" s="122"/>
      <c r="BQ186" s="122"/>
      <c r="BR186" s="107"/>
      <c r="BS186" s="107"/>
      <c r="BT186" s="107"/>
      <c r="BU186" s="107"/>
    </row>
    <row r="187" spans="16:92" ht="15" customHeight="1" x14ac:dyDescent="0.2">
      <c r="P187" s="123"/>
      <c r="Q187" s="124"/>
      <c r="R187" s="123"/>
      <c r="S187" s="124"/>
      <c r="T187" s="123"/>
      <c r="U187" s="124"/>
      <c r="V187" s="123"/>
      <c r="W187" s="124"/>
      <c r="X187" s="123"/>
      <c r="Y187" s="124"/>
      <c r="Z187" s="123"/>
      <c r="AA187" s="124"/>
      <c r="AB187" s="123"/>
      <c r="AC187" s="124"/>
      <c r="AD187" s="123"/>
      <c r="AE187" s="124"/>
      <c r="AF187" s="123"/>
      <c r="AG187" s="124"/>
      <c r="AH187" s="123"/>
      <c r="AI187" s="124"/>
      <c r="AJ187" s="123"/>
      <c r="AK187" s="124"/>
      <c r="AL187" s="123"/>
      <c r="AM187" s="124"/>
      <c r="AN187" s="123"/>
      <c r="AO187" s="124"/>
      <c r="AP187" s="123"/>
      <c r="AQ187" s="124"/>
      <c r="AR187" s="123"/>
      <c r="AS187" s="124"/>
      <c r="AT187" s="123"/>
      <c r="AU187" s="124"/>
      <c r="AV187" s="123"/>
      <c r="AW187" s="124"/>
      <c r="AX187" s="123"/>
      <c r="AY187" s="124"/>
      <c r="AZ187" s="123"/>
      <c r="BA187" s="124"/>
      <c r="BB187" s="123"/>
      <c r="BC187" s="124"/>
      <c r="BD187" s="123"/>
      <c r="BE187" s="124"/>
      <c r="BF187" s="123"/>
      <c r="BG187" s="124"/>
      <c r="BH187" s="123"/>
      <c r="BI187" s="124"/>
      <c r="BJ187" s="123"/>
      <c r="BK187" s="124"/>
      <c r="BL187" s="123"/>
      <c r="BM187" s="124"/>
      <c r="BN187" s="123"/>
      <c r="BO187" s="124"/>
      <c r="BP187" s="123"/>
      <c r="BQ187" s="124"/>
      <c r="BR187" s="123"/>
      <c r="BS187" s="124"/>
      <c r="BT187" s="123"/>
      <c r="BU187" s="124"/>
      <c r="BV187" s="123"/>
      <c r="BW187" s="124"/>
      <c r="BX187" s="123"/>
      <c r="BY187" s="124"/>
      <c r="BZ187" s="123"/>
      <c r="CA187" s="124"/>
      <c r="CB187" s="123"/>
      <c r="CC187" s="124"/>
      <c r="CD187" s="123"/>
      <c r="CE187" s="124"/>
      <c r="CF187" s="123"/>
      <c r="CG187" s="124"/>
      <c r="CH187" s="123"/>
      <c r="CI187" s="124"/>
      <c r="CJ187" s="123"/>
      <c r="CK187" s="124"/>
      <c r="CL187" s="123"/>
      <c r="CM187" s="124"/>
      <c r="CN187" s="123"/>
    </row>
    <row r="188" spans="16:92" ht="15" customHeight="1" x14ac:dyDescent="0.2">
      <c r="P188" s="123"/>
      <c r="Q188" s="124"/>
      <c r="R188" s="123"/>
      <c r="S188" s="124"/>
      <c r="T188" s="123"/>
      <c r="U188" s="124"/>
      <c r="V188" s="123"/>
      <c r="W188" s="124"/>
      <c r="X188" s="123"/>
      <c r="Y188" s="124"/>
      <c r="Z188" s="123"/>
      <c r="AA188" s="124"/>
      <c r="AB188" s="123"/>
      <c r="AC188" s="124"/>
      <c r="AD188" s="123"/>
      <c r="AE188" s="124"/>
      <c r="AF188" s="123"/>
      <c r="AG188" s="124"/>
      <c r="AH188" s="123"/>
      <c r="AI188" s="124"/>
      <c r="AJ188" s="123"/>
      <c r="AK188" s="124"/>
      <c r="AL188" s="123"/>
      <c r="AM188" s="124"/>
      <c r="AN188" s="123"/>
      <c r="AO188" s="124"/>
      <c r="AP188" s="123"/>
      <c r="AQ188" s="124"/>
      <c r="AR188" s="123"/>
      <c r="AS188" s="124"/>
      <c r="AT188" s="123"/>
      <c r="AU188" s="124"/>
      <c r="AV188" s="123"/>
      <c r="AW188" s="124"/>
      <c r="AX188" s="123"/>
      <c r="AY188" s="124"/>
      <c r="AZ188" s="123"/>
      <c r="BA188" s="124"/>
      <c r="BB188" s="123"/>
      <c r="BC188" s="124"/>
      <c r="BD188" s="123"/>
      <c r="BE188" s="124"/>
      <c r="BF188" s="123"/>
      <c r="BG188" s="124"/>
      <c r="BH188" s="123"/>
      <c r="BI188" s="124"/>
      <c r="BJ188" s="123"/>
      <c r="BK188" s="124"/>
      <c r="BL188" s="123"/>
      <c r="BM188" s="124"/>
      <c r="BN188" s="123"/>
      <c r="BO188" s="124"/>
      <c r="BP188" s="123"/>
      <c r="BQ188" s="124"/>
      <c r="BR188" s="123"/>
      <c r="BS188" s="124"/>
      <c r="BT188" s="123"/>
      <c r="BU188" s="124"/>
      <c r="BV188" s="123"/>
      <c r="BW188" s="124"/>
      <c r="BX188" s="123"/>
      <c r="BY188" s="124"/>
      <c r="BZ188" s="123"/>
      <c r="CA188" s="124"/>
      <c r="CB188" s="123"/>
      <c r="CC188" s="124"/>
      <c r="CD188" s="123"/>
      <c r="CE188" s="124"/>
      <c r="CF188" s="123"/>
      <c r="CG188" s="124"/>
      <c r="CH188" s="123"/>
      <c r="CI188" s="124"/>
      <c r="CJ188" s="123"/>
      <c r="CK188" s="124"/>
      <c r="CL188" s="123"/>
      <c r="CM188" s="124"/>
      <c r="CN188" s="123"/>
    </row>
    <row r="189" spans="16:92" ht="15" customHeight="1" x14ac:dyDescent="0.2">
      <c r="P189" s="123"/>
      <c r="Q189" s="124"/>
      <c r="R189" s="123"/>
      <c r="S189" s="124"/>
      <c r="T189" s="123"/>
      <c r="U189" s="124"/>
      <c r="V189" s="123"/>
      <c r="W189" s="124"/>
      <c r="X189" s="123"/>
      <c r="Y189" s="124"/>
      <c r="Z189" s="123"/>
      <c r="AA189" s="124"/>
      <c r="AB189" s="123"/>
      <c r="AC189" s="124"/>
      <c r="AD189" s="123"/>
      <c r="AE189" s="124"/>
      <c r="AF189" s="123"/>
      <c r="AG189" s="124"/>
      <c r="AH189" s="123"/>
      <c r="AI189" s="124"/>
      <c r="AJ189" s="123"/>
      <c r="AK189" s="124"/>
      <c r="AL189" s="123"/>
      <c r="AM189" s="124"/>
      <c r="AN189" s="123"/>
      <c r="AO189" s="124"/>
      <c r="AP189" s="123"/>
      <c r="AQ189" s="124"/>
      <c r="AR189" s="123"/>
      <c r="AS189" s="124"/>
      <c r="AT189" s="123"/>
      <c r="AU189" s="124"/>
      <c r="AV189" s="123"/>
      <c r="AW189" s="124"/>
      <c r="AX189" s="123"/>
      <c r="AY189" s="124"/>
      <c r="AZ189" s="123"/>
      <c r="BA189" s="124"/>
      <c r="BB189" s="123"/>
      <c r="BC189" s="124"/>
      <c r="BD189" s="123"/>
      <c r="BE189" s="124"/>
      <c r="BF189" s="123"/>
      <c r="BG189" s="124"/>
      <c r="BH189" s="123"/>
      <c r="BI189" s="124"/>
      <c r="BJ189" s="123"/>
      <c r="BK189" s="124"/>
      <c r="BL189" s="123"/>
      <c r="BM189" s="124"/>
      <c r="BN189" s="123"/>
      <c r="BO189" s="124"/>
      <c r="BP189" s="123"/>
      <c r="BQ189" s="124"/>
      <c r="BR189" s="123"/>
      <c r="BS189" s="124"/>
      <c r="BT189" s="123"/>
      <c r="BU189" s="124"/>
      <c r="BV189" s="123"/>
      <c r="BW189" s="124"/>
      <c r="BX189" s="123"/>
      <c r="BY189" s="124"/>
      <c r="BZ189" s="123"/>
      <c r="CA189" s="124"/>
      <c r="CB189" s="123"/>
      <c r="CC189" s="124"/>
      <c r="CD189" s="123"/>
      <c r="CE189" s="124"/>
      <c r="CF189" s="123"/>
      <c r="CG189" s="124"/>
      <c r="CH189" s="123"/>
      <c r="CI189" s="124"/>
      <c r="CJ189" s="123"/>
      <c r="CK189" s="124"/>
      <c r="CL189" s="123"/>
      <c r="CM189" s="124"/>
      <c r="CN189" s="123"/>
    </row>
    <row r="190" spans="16:92" ht="15" customHeight="1" x14ac:dyDescent="0.2">
      <c r="P190" s="123"/>
      <c r="Q190" s="124"/>
      <c r="R190" s="123"/>
      <c r="S190" s="124"/>
      <c r="T190" s="123"/>
      <c r="U190" s="124"/>
      <c r="V190" s="123"/>
      <c r="W190" s="124"/>
      <c r="X190" s="123"/>
      <c r="Y190" s="124"/>
      <c r="Z190" s="123"/>
      <c r="AA190" s="124"/>
      <c r="AB190" s="123"/>
      <c r="AC190" s="124"/>
      <c r="AD190" s="123"/>
      <c r="AE190" s="124"/>
      <c r="AF190" s="123"/>
      <c r="AG190" s="124"/>
      <c r="AH190" s="123"/>
      <c r="AI190" s="124"/>
      <c r="AJ190" s="123"/>
      <c r="AK190" s="124"/>
      <c r="AL190" s="123"/>
      <c r="AM190" s="124"/>
      <c r="AN190" s="123"/>
      <c r="AO190" s="124"/>
      <c r="AP190" s="123"/>
      <c r="AQ190" s="124"/>
      <c r="AR190" s="123"/>
      <c r="AS190" s="124"/>
      <c r="AT190" s="123"/>
      <c r="AU190" s="124"/>
      <c r="AV190" s="123"/>
      <c r="AW190" s="124"/>
      <c r="AX190" s="123"/>
      <c r="AY190" s="124"/>
      <c r="AZ190" s="123"/>
      <c r="BA190" s="124"/>
      <c r="BB190" s="123"/>
      <c r="BC190" s="124"/>
      <c r="BD190" s="123"/>
      <c r="BE190" s="124"/>
      <c r="BF190" s="123"/>
      <c r="BG190" s="124"/>
      <c r="BH190" s="123"/>
      <c r="BI190" s="124"/>
      <c r="BJ190" s="123"/>
      <c r="BK190" s="124"/>
      <c r="BL190" s="123"/>
      <c r="BM190" s="124"/>
      <c r="BN190" s="123"/>
      <c r="BO190" s="124"/>
      <c r="BP190" s="123"/>
      <c r="BQ190" s="124"/>
      <c r="BR190" s="123"/>
      <c r="BS190" s="124"/>
      <c r="BT190" s="123"/>
      <c r="BU190" s="124"/>
      <c r="BV190" s="123"/>
      <c r="BW190" s="124"/>
      <c r="BX190" s="123"/>
      <c r="BY190" s="124"/>
      <c r="BZ190" s="123"/>
      <c r="CA190" s="124"/>
      <c r="CB190" s="123"/>
      <c r="CC190" s="124"/>
      <c r="CD190" s="123"/>
      <c r="CE190" s="124"/>
      <c r="CF190" s="123"/>
      <c r="CG190" s="124"/>
      <c r="CH190" s="123"/>
      <c r="CI190" s="124"/>
      <c r="CJ190" s="123"/>
      <c r="CK190" s="124"/>
      <c r="CL190" s="123"/>
      <c r="CM190" s="124"/>
      <c r="CN190" s="123"/>
    </row>
    <row r="191" spans="16:92" ht="15" customHeight="1" x14ac:dyDescent="0.2">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row>
    <row r="192" spans="16:92" ht="15" customHeight="1" x14ac:dyDescent="0.2">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row>
    <row r="193" spans="16:92" ht="15" customHeight="1" x14ac:dyDescent="0.2">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row>
    <row r="194" spans="16:92" ht="15" customHeight="1" x14ac:dyDescent="0.2">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row>
    <row r="195" spans="16:92" ht="15" customHeight="1" x14ac:dyDescent="0.2">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row>
    <row r="196" spans="16:92" ht="15" customHeight="1" x14ac:dyDescent="0.2">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row>
    <row r="197" spans="16:92" ht="15" customHeight="1" x14ac:dyDescent="0.2">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row>
    <row r="198" spans="16:92" ht="15" customHeight="1" x14ac:dyDescent="0.2">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row>
    <row r="199" spans="16:92" ht="15" customHeight="1" x14ac:dyDescent="0.2">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row>
    <row r="200" spans="16:92" ht="15" customHeight="1" x14ac:dyDescent="0.2">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row>
    <row r="201" spans="16:92" ht="15" customHeight="1" x14ac:dyDescent="0.2">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row>
    <row r="202" spans="16:92" ht="15" customHeight="1" x14ac:dyDescent="0.2">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row>
    <row r="203" spans="16:92" ht="15" customHeight="1" x14ac:dyDescent="0.2">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row>
    <row r="204" spans="16:92" ht="15" customHeight="1" x14ac:dyDescent="0.2">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row>
    <row r="205" spans="16:92" ht="15" customHeight="1" x14ac:dyDescent="0.2">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row>
    <row r="206" spans="16:92" ht="15" customHeight="1" x14ac:dyDescent="0.2">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row>
    <row r="207" spans="16:92" ht="15" customHeight="1" x14ac:dyDescent="0.2">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row>
    <row r="208" spans="16:92" ht="15" customHeight="1" x14ac:dyDescent="0.2">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row>
    <row r="209" spans="16:92" ht="15" customHeight="1" x14ac:dyDescent="0.2">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row>
    <row r="210" spans="16:92" ht="15" customHeight="1" x14ac:dyDescent="0.2">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row>
    <row r="211" spans="16:92" ht="15" customHeight="1" x14ac:dyDescent="0.2">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row>
    <row r="212" spans="16:92" ht="15" customHeight="1" x14ac:dyDescent="0.2">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row>
    <row r="213" spans="16:92" ht="15" customHeight="1" x14ac:dyDescent="0.2">
      <c r="P213" s="7"/>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row>
    <row r="214" spans="16:92" ht="15" customHeight="1" x14ac:dyDescent="0.2">
      <c r="P214" s="7"/>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row>
    <row r="215" spans="16:92" ht="15" customHeight="1" x14ac:dyDescent="0.2">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8"/>
      <c r="BU215" s="8"/>
    </row>
    <row r="216" spans="16:92" ht="15.75" customHeight="1" x14ac:dyDescent="0.2">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125"/>
      <c r="BN216" s="7"/>
      <c r="BO216" s="7"/>
      <c r="BP216" s="7"/>
      <c r="BQ216" s="7"/>
      <c r="BR216" s="7"/>
      <c r="BS216" s="7"/>
      <c r="BT216" s="8"/>
      <c r="BU216" s="8"/>
    </row>
    <row r="217" spans="16:92" ht="15.75" customHeight="1" x14ac:dyDescent="0.2">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125"/>
      <c r="BN217" s="7"/>
      <c r="BO217" s="7"/>
      <c r="BP217" s="7"/>
      <c r="BQ217" s="7"/>
      <c r="BR217" s="7"/>
      <c r="BS217" s="7"/>
      <c r="BT217" s="8"/>
      <c r="BU217" s="8"/>
    </row>
    <row r="218" spans="16:92" x14ac:dyDescent="0.2">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125"/>
      <c r="BN218" s="7"/>
      <c r="BO218" s="7"/>
      <c r="BP218" s="7"/>
      <c r="BQ218" s="7"/>
      <c r="BR218" s="7"/>
      <c r="BS218" s="7"/>
      <c r="BT218" s="8"/>
      <c r="BU218" s="8"/>
    </row>
    <row r="219" spans="16:92" x14ac:dyDescent="0.2">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8"/>
      <c r="BU219" s="8"/>
    </row>
    <row r="220" spans="16:92" x14ac:dyDescent="0.2">
      <c r="BM220" s="7"/>
      <c r="BT220" s="8"/>
      <c r="BU220" s="8"/>
    </row>
    <row r="221" spans="16:92" x14ac:dyDescent="0.2">
      <c r="BM221" s="7"/>
      <c r="BT221" s="8"/>
      <c r="BU221" s="8"/>
    </row>
    <row r="222" spans="16:92" x14ac:dyDescent="0.2">
      <c r="BM222" s="7"/>
      <c r="BT222" s="8"/>
      <c r="BU222" s="8"/>
    </row>
    <row r="223" spans="16:92" x14ac:dyDescent="0.2">
      <c r="BM223" s="7"/>
      <c r="BT223" s="8"/>
      <c r="BU223" s="8"/>
    </row>
    <row r="224" spans="16:92" x14ac:dyDescent="0.2">
      <c r="BM224" s="7"/>
      <c r="BT224" s="8"/>
      <c r="BU224" s="8"/>
    </row>
    <row r="225" spans="65:73" x14ac:dyDescent="0.2">
      <c r="BM225" s="7"/>
      <c r="BT225" s="8"/>
      <c r="BU225" s="8"/>
    </row>
    <row r="226" spans="65:73" x14ac:dyDescent="0.2">
      <c r="BM226" s="7"/>
      <c r="BT226" s="8"/>
      <c r="BU226" s="8"/>
    </row>
    <row r="227" spans="65:73" x14ac:dyDescent="0.2">
      <c r="BT227" s="8"/>
      <c r="BU227" s="8"/>
    </row>
    <row r="228" spans="65:73" x14ac:dyDescent="0.2">
      <c r="BT228" s="8"/>
      <c r="BU228" s="8"/>
    </row>
    <row r="229" spans="65:73" x14ac:dyDescent="0.2">
      <c r="BT229" s="8"/>
      <c r="BU229" s="8"/>
    </row>
    <row r="230" spans="65:73" x14ac:dyDescent="0.2">
      <c r="BT230" s="8"/>
      <c r="BU230" s="8"/>
    </row>
    <row r="231" spans="65:73" x14ac:dyDescent="0.2">
      <c r="BT231" s="8"/>
      <c r="BU231" s="8"/>
    </row>
    <row r="232" spans="65:73" x14ac:dyDescent="0.2">
      <c r="BT232" s="8"/>
      <c r="BU232" s="8"/>
    </row>
    <row r="233" spans="65:73" x14ac:dyDescent="0.2">
      <c r="BT233" s="8"/>
      <c r="BU233" s="8"/>
    </row>
    <row r="234" spans="65:73" x14ac:dyDescent="0.2">
      <c r="BT234" s="8"/>
      <c r="BU234" s="8"/>
    </row>
    <row r="235" spans="65:73" x14ac:dyDescent="0.2">
      <c r="BT235" s="8"/>
      <c r="BU235" s="8"/>
    </row>
    <row r="236" spans="65:73" x14ac:dyDescent="0.2">
      <c r="BT236" s="8"/>
      <c r="BU236" s="8"/>
    </row>
    <row r="237" spans="65:73" x14ac:dyDescent="0.2">
      <c r="BT237" s="8"/>
      <c r="BU237" s="8"/>
    </row>
    <row r="238" spans="65:73" x14ac:dyDescent="0.2">
      <c r="BT238" s="8"/>
      <c r="BU238" s="8"/>
    </row>
    <row r="239" spans="65:73" x14ac:dyDescent="0.2">
      <c r="BT239" s="8"/>
      <c r="BU239" s="8"/>
    </row>
    <row r="240" spans="65:73" x14ac:dyDescent="0.2">
      <c r="BT240" s="8"/>
      <c r="BU240" s="8"/>
    </row>
    <row r="241" spans="72:73" x14ac:dyDescent="0.2">
      <c r="BT241" s="8"/>
      <c r="BU241" s="8"/>
    </row>
    <row r="242" spans="72:73" x14ac:dyDescent="0.2">
      <c r="BT242" s="8"/>
      <c r="BU242" s="8"/>
    </row>
    <row r="243" spans="72:73" x14ac:dyDescent="0.2">
      <c r="BT243" s="8"/>
      <c r="BU243" s="8"/>
    </row>
    <row r="244" spans="72:73" x14ac:dyDescent="0.2">
      <c r="BT244" s="8"/>
      <c r="BU244" s="8"/>
    </row>
    <row r="245" spans="72:73" x14ac:dyDescent="0.2">
      <c r="BT245" s="8"/>
      <c r="BU245" s="8"/>
    </row>
    <row r="246" spans="72:73" x14ac:dyDescent="0.2">
      <c r="BT246" s="8"/>
      <c r="BU246" s="8"/>
    </row>
    <row r="247" spans="72:73" x14ac:dyDescent="0.2">
      <c r="BT247" s="8"/>
      <c r="BU247" s="8"/>
    </row>
    <row r="248" spans="72:73" x14ac:dyDescent="0.2">
      <c r="BT248" s="8"/>
      <c r="BU248" s="8"/>
    </row>
    <row r="249" spans="72:73" x14ac:dyDescent="0.2">
      <c r="BT249" s="8"/>
      <c r="BU249" s="8"/>
    </row>
    <row r="250" spans="72:73" x14ac:dyDescent="0.2">
      <c r="BT250" s="8"/>
      <c r="BU250" s="8"/>
    </row>
    <row r="251" spans="72:73" x14ac:dyDescent="0.2">
      <c r="BT251" s="8"/>
      <c r="BU251" s="8"/>
    </row>
    <row r="252" spans="72:73" x14ac:dyDescent="0.2">
      <c r="BT252" s="8"/>
      <c r="BU252" s="8"/>
    </row>
    <row r="253" spans="72:73" x14ac:dyDescent="0.2">
      <c r="BT253" s="8"/>
      <c r="BU253" s="8"/>
    </row>
    <row r="254" spans="72:73" x14ac:dyDescent="0.2">
      <c r="BT254" s="8"/>
      <c r="BU254" s="8"/>
    </row>
    <row r="255" spans="72:73" x14ac:dyDescent="0.2">
      <c r="BT255" s="8"/>
      <c r="BU255" s="8"/>
    </row>
    <row r="256" spans="72:73" x14ac:dyDescent="0.2">
      <c r="BT256" s="8"/>
      <c r="BU256" s="8"/>
    </row>
    <row r="257" spans="72:73" x14ac:dyDescent="0.2">
      <c r="BT257" s="8"/>
      <c r="BU257" s="8"/>
    </row>
  </sheetData>
  <mergeCells count="48">
    <mergeCell ref="A38:A40"/>
    <mergeCell ref="L4:M4"/>
    <mergeCell ref="T4:U4"/>
    <mergeCell ref="V4:W4"/>
    <mergeCell ref="A4:A5"/>
    <mergeCell ref="B4:C4"/>
    <mergeCell ref="H4:I4"/>
    <mergeCell ref="N4:O4"/>
    <mergeCell ref="D4:E4"/>
    <mergeCell ref="F4:G4"/>
    <mergeCell ref="J4:K4"/>
    <mergeCell ref="P4:Q4"/>
    <mergeCell ref="R4:S4"/>
    <mergeCell ref="AD4:AE4"/>
    <mergeCell ref="AF4:AG4"/>
    <mergeCell ref="AL4:AM4"/>
    <mergeCell ref="BF4:BG4"/>
    <mergeCell ref="BX4:BY4"/>
    <mergeCell ref="BH4:BI4"/>
    <mergeCell ref="BP4:BQ4"/>
    <mergeCell ref="AJ4:AK4"/>
    <mergeCell ref="BZ4:CA4"/>
    <mergeCell ref="BL4:BM4"/>
    <mergeCell ref="BN4:BO4"/>
    <mergeCell ref="BV4:BW4"/>
    <mergeCell ref="BT4:BU4"/>
    <mergeCell ref="A2:O2"/>
    <mergeCell ref="BR4:BS4"/>
    <mergeCell ref="AN4:AO4"/>
    <mergeCell ref="AP4:AQ4"/>
    <mergeCell ref="AR4:AS4"/>
    <mergeCell ref="BB4:BC4"/>
    <mergeCell ref="AV4:AW4"/>
    <mergeCell ref="AX4:AY4"/>
    <mergeCell ref="AZ4:BA4"/>
    <mergeCell ref="BJ4:BK4"/>
    <mergeCell ref="BD4:BE4"/>
    <mergeCell ref="X4:Y4"/>
    <mergeCell ref="Z4:AA4"/>
    <mergeCell ref="AB4:AC4"/>
    <mergeCell ref="AT4:AU4"/>
    <mergeCell ref="AH4:AI4"/>
    <mergeCell ref="CL4:CM4"/>
    <mergeCell ref="CD4:CE4"/>
    <mergeCell ref="CF4:CG4"/>
    <mergeCell ref="CH4:CI4"/>
    <mergeCell ref="CB4:CC4"/>
    <mergeCell ref="CJ4:CK4"/>
  </mergeCell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3" tint="0.79998168889431442"/>
  </sheetPr>
  <dimension ref="A1:O524"/>
  <sheetViews>
    <sheetView view="pageBreakPreview" zoomScaleNormal="90" zoomScaleSheetLayoutView="100" workbookViewId="0">
      <selection activeCell="A2" sqref="A2:O2"/>
    </sheetView>
  </sheetViews>
  <sheetFormatPr baseColWidth="10" defaultColWidth="11.42578125" defaultRowHeight="12" x14ac:dyDescent="0.2"/>
  <cols>
    <col min="1" max="1" width="43.42578125" style="2" customWidth="1"/>
    <col min="2" max="2" width="16.5703125" style="2" bestFit="1" customWidth="1"/>
    <col min="3" max="3" width="16.42578125" style="2" customWidth="1"/>
    <col min="4" max="4" width="13.42578125" style="2" bestFit="1" customWidth="1"/>
    <col min="5" max="5" width="14.42578125" style="2" bestFit="1" customWidth="1"/>
    <col min="6" max="7" width="12" style="2" bestFit="1" customWidth="1"/>
    <col min="8" max="8" width="12.5703125" style="2" bestFit="1" customWidth="1"/>
    <col min="9" max="9" width="13.42578125" style="2" bestFit="1" customWidth="1"/>
    <col min="10" max="10" width="11" style="2" bestFit="1" customWidth="1"/>
    <col min="11" max="11" width="10.42578125" style="2" customWidth="1"/>
    <col min="12" max="12" width="13.42578125" style="2" bestFit="1" customWidth="1"/>
    <col min="13" max="13" width="15" style="2" bestFit="1" customWidth="1"/>
    <col min="14" max="14" width="12.42578125" style="2" customWidth="1"/>
    <col min="15" max="15" width="12" style="2" bestFit="1" customWidth="1"/>
    <col min="16" max="16384" width="11.42578125" style="17"/>
  </cols>
  <sheetData>
    <row r="1" spans="1:15" x14ac:dyDescent="0.2">
      <c r="A1" s="17" t="s">
        <v>122</v>
      </c>
      <c r="B1" s="17"/>
      <c r="C1" s="17"/>
      <c r="D1" s="17"/>
      <c r="E1" s="17"/>
      <c r="F1" s="17"/>
      <c r="G1" s="17"/>
      <c r="H1" s="17"/>
      <c r="I1" s="17"/>
      <c r="J1" s="17"/>
      <c r="K1" s="17"/>
      <c r="L1" s="17"/>
      <c r="M1" s="17"/>
      <c r="N1" s="17"/>
      <c r="O1" s="17"/>
    </row>
    <row r="2" spans="1:15" ht="13.5" customHeight="1" x14ac:dyDescent="0.2">
      <c r="A2" s="321" t="s">
        <v>17</v>
      </c>
      <c r="B2" s="321"/>
      <c r="C2" s="321"/>
      <c r="D2" s="321"/>
      <c r="E2" s="321"/>
      <c r="F2" s="321"/>
      <c r="G2" s="321"/>
      <c r="H2" s="321"/>
      <c r="I2" s="321"/>
      <c r="J2" s="321"/>
      <c r="K2" s="321"/>
      <c r="L2" s="321"/>
      <c r="M2" s="321"/>
      <c r="N2" s="321"/>
      <c r="O2" s="321"/>
    </row>
    <row r="3" spans="1:15" ht="23.45" customHeight="1" x14ac:dyDescent="0.2">
      <c r="A3" s="17"/>
      <c r="B3" s="17"/>
      <c r="C3" s="17"/>
      <c r="D3" s="17"/>
      <c r="E3" s="17"/>
      <c r="F3" s="17"/>
      <c r="G3" s="17"/>
      <c r="H3" s="17"/>
      <c r="I3" s="17"/>
      <c r="J3" s="17"/>
      <c r="K3" s="17"/>
      <c r="L3" s="17"/>
      <c r="M3" s="17"/>
      <c r="N3" s="17"/>
      <c r="O3" s="17"/>
    </row>
    <row r="4" spans="1:15" ht="39.75" customHeight="1" x14ac:dyDescent="0.2">
      <c r="A4" s="329" t="s">
        <v>36</v>
      </c>
      <c r="B4" s="320" t="s">
        <v>92</v>
      </c>
      <c r="C4" s="320"/>
      <c r="D4" s="320" t="s">
        <v>112</v>
      </c>
      <c r="E4" s="320"/>
      <c r="F4" s="320" t="s">
        <v>113</v>
      </c>
      <c r="G4" s="320"/>
      <c r="H4" s="321" t="s">
        <v>114</v>
      </c>
      <c r="I4" s="321"/>
      <c r="J4" s="320" t="s">
        <v>123</v>
      </c>
      <c r="K4" s="320"/>
      <c r="L4" s="320" t="s">
        <v>124</v>
      </c>
      <c r="M4" s="320"/>
      <c r="N4" s="320" t="s">
        <v>117</v>
      </c>
      <c r="O4" s="320"/>
    </row>
    <row r="5" spans="1:15" x14ac:dyDescent="0.2">
      <c r="A5" s="384"/>
      <c r="B5" s="1">
        <v>2021</v>
      </c>
      <c r="C5" s="1">
        <v>2022</v>
      </c>
      <c r="D5" s="1">
        <v>2021</v>
      </c>
      <c r="E5" s="1">
        <v>2022</v>
      </c>
      <c r="F5" s="1">
        <v>2021</v>
      </c>
      <c r="G5" s="1">
        <v>2022</v>
      </c>
      <c r="H5" s="1">
        <v>2021</v>
      </c>
      <c r="I5" s="1">
        <v>2022</v>
      </c>
      <c r="J5" s="1">
        <v>2021</v>
      </c>
      <c r="K5" s="1">
        <v>2022</v>
      </c>
      <c r="L5" s="1">
        <v>2021</v>
      </c>
      <c r="M5" s="1">
        <v>2022</v>
      </c>
      <c r="N5" s="1">
        <v>2021</v>
      </c>
      <c r="O5" s="1">
        <v>2022</v>
      </c>
    </row>
    <row r="6" spans="1:15" ht="21.75" customHeight="1" x14ac:dyDescent="0.2">
      <c r="A6" s="90" t="s">
        <v>71</v>
      </c>
      <c r="B6" s="18"/>
      <c r="C6" s="18"/>
      <c r="D6" s="18"/>
      <c r="E6" s="18"/>
      <c r="F6" s="18"/>
      <c r="G6" s="18"/>
      <c r="H6" s="18"/>
      <c r="I6" s="18"/>
      <c r="J6" s="18"/>
      <c r="K6" s="18"/>
      <c r="L6" s="18"/>
      <c r="M6" s="18"/>
      <c r="N6" s="18"/>
      <c r="O6" s="18"/>
    </row>
    <row r="7" spans="1:15" s="32" customFormat="1" ht="21.75" customHeight="1" x14ac:dyDescent="0.2">
      <c r="A7" s="91" t="s">
        <v>72</v>
      </c>
      <c r="B7" s="86">
        <f>'6'!B8/'6'!B12</f>
        <v>1.1463156718726926</v>
      </c>
      <c r="C7" s="86">
        <f>'6'!C8/'6'!C12</f>
        <v>0.94630208119077786</v>
      </c>
      <c r="D7" s="86">
        <f>'6'!D8/'6'!D12</f>
        <v>1.1869804359585352</v>
      </c>
      <c r="E7" s="86">
        <f>'6'!E8/'6'!E12</f>
        <v>1.553643049860542</v>
      </c>
      <c r="F7" s="86">
        <f>'6'!F8/'6'!F12</f>
        <v>1.0417287142553968</v>
      </c>
      <c r="G7" s="86">
        <f>'6'!G8/'6'!G12</f>
        <v>1.2191786834650169</v>
      </c>
      <c r="H7" s="86">
        <f>'6'!H8/'6'!H12</f>
        <v>0.97074641514346527</v>
      </c>
      <c r="I7" s="86">
        <f>'6'!I8/'6'!I12</f>
        <v>1.2204575045541737</v>
      </c>
      <c r="J7" s="86">
        <f>'6'!J8/'6'!J12</f>
        <v>1.0105594097787727</v>
      </c>
      <c r="K7" s="86">
        <f>'6'!K8/'6'!K12</f>
        <v>0.99855313170570814</v>
      </c>
      <c r="L7" s="86">
        <f>'6'!L8/'6'!L12</f>
        <v>1.1791345026162841</v>
      </c>
      <c r="M7" s="86">
        <f>'6'!M8/'6'!M12</f>
        <v>0.62901096060312711</v>
      </c>
      <c r="N7" s="86">
        <f>'6'!N8/'6'!N12</f>
        <v>1.1175693162721052</v>
      </c>
      <c r="O7" s="86">
        <f>'6'!O8/'6'!O12</f>
        <v>1.3557925382946596</v>
      </c>
    </row>
    <row r="8" spans="1:15" s="32" customFormat="1" ht="18" customHeight="1" x14ac:dyDescent="0.2">
      <c r="A8" s="92" t="s">
        <v>73</v>
      </c>
      <c r="B8" s="62"/>
      <c r="C8" s="62"/>
      <c r="D8" s="62"/>
      <c r="E8" s="62"/>
      <c r="F8" s="62"/>
      <c r="G8" s="62"/>
      <c r="H8" s="62"/>
      <c r="I8" s="62"/>
      <c r="J8" s="62"/>
      <c r="K8" s="62"/>
      <c r="L8" s="62"/>
      <c r="M8" s="62"/>
      <c r="N8" s="62"/>
      <c r="O8" s="62"/>
    </row>
    <row r="9" spans="1:15" s="32" customFormat="1" ht="18" customHeight="1" x14ac:dyDescent="0.2">
      <c r="A9" s="93" t="s">
        <v>74</v>
      </c>
      <c r="B9" s="86">
        <f>'6'!B12/'6'!B14</f>
        <v>0.70173559962999943</v>
      </c>
      <c r="C9" s="86">
        <f>'6'!C12/'6'!C14</f>
        <v>0.67965297035198291</v>
      </c>
      <c r="D9" s="86">
        <f>'6'!D12/'6'!D14</f>
        <v>0.9601214494173429</v>
      </c>
      <c r="E9" s="86">
        <f>'6'!E12/'6'!E14</f>
        <v>0.973414925383015</v>
      </c>
      <c r="F9" s="86">
        <f>'6'!F12/'6'!F14</f>
        <v>0.32273646718633964</v>
      </c>
      <c r="G9" s="86">
        <f>'6'!G12/'6'!G14</f>
        <v>0.4088339109259268</v>
      </c>
      <c r="H9" s="86">
        <f>'6'!H12/'6'!H14</f>
        <v>0.35581379907634808</v>
      </c>
      <c r="I9" s="86">
        <f>'6'!I12/'6'!I14</f>
        <v>0.30200937757919188</v>
      </c>
      <c r="J9" s="86">
        <f>'6'!J12/'6'!J14</f>
        <v>0.99935021272151325</v>
      </c>
      <c r="K9" s="86">
        <f>'6'!K12/'6'!K14</f>
        <v>0.99952629819871019</v>
      </c>
      <c r="L9" s="86">
        <f>'6'!L12/'6'!L14</f>
        <v>0.78227832391366403</v>
      </c>
      <c r="M9" s="86">
        <f>'6'!M12/'6'!M14</f>
        <v>0.90627109950858031</v>
      </c>
      <c r="N9" s="86">
        <f>'6'!N12/'6'!N14</f>
        <v>0.86178005204603358</v>
      </c>
      <c r="O9" s="86">
        <f>'6'!O12/'6'!O14</f>
        <v>0.50003692993994064</v>
      </c>
    </row>
    <row r="10" spans="1:15" s="32" customFormat="1" ht="18" customHeight="1" x14ac:dyDescent="0.2">
      <c r="A10" s="93" t="s">
        <v>75</v>
      </c>
      <c r="B10" s="86">
        <f>'6'!B14/'6'!B26</f>
        <v>1.6448541234903722</v>
      </c>
      <c r="C10" s="86">
        <f>'6'!C14/'6'!C26</f>
        <v>2.5348333546918611</v>
      </c>
      <c r="D10" s="86">
        <f>'6'!D14/'6'!D26</f>
        <v>3.6087650013002728</v>
      </c>
      <c r="E10" s="86">
        <f>'6'!E14/'6'!E26</f>
        <v>1.2857410223079553</v>
      </c>
      <c r="F10" s="86">
        <f>'6'!F14/'6'!F26</f>
        <v>6.2524834958834461</v>
      </c>
      <c r="G10" s="86">
        <f>'6'!G14/'6'!G26</f>
        <v>12.665396673938135</v>
      </c>
      <c r="H10" s="86">
        <f>'6'!H14/'6'!H26</f>
        <v>4.1519648855119922</v>
      </c>
      <c r="I10" s="86">
        <f>'6'!I14/'6'!I26</f>
        <v>5.5873199695108609</v>
      </c>
      <c r="J10" s="86">
        <f>'6'!J14/'6'!J26</f>
        <v>2.8911385087610539</v>
      </c>
      <c r="K10" s="86">
        <f>'6'!K14/'6'!K26</f>
        <v>4.7612092219528765</v>
      </c>
      <c r="L10" s="86">
        <f>'6'!L14/'6'!L26</f>
        <v>0.64419588906872238</v>
      </c>
      <c r="M10" s="86">
        <f>'6'!M14/'6'!M26</f>
        <v>2.0666540155084676</v>
      </c>
      <c r="N10" s="86">
        <f>'6'!N14/'6'!N26</f>
        <v>2.4867936630324685</v>
      </c>
      <c r="O10" s="86">
        <f>'6'!O14/'6'!O26</f>
        <v>1.4440214848096369</v>
      </c>
    </row>
    <row r="11" spans="1:15" s="32" customFormat="1" ht="18" customHeight="1" x14ac:dyDescent="0.2">
      <c r="A11" s="94" t="s">
        <v>76</v>
      </c>
      <c r="B11" s="86">
        <f>'6'!B13/'6'!B26</f>
        <v>0.49060142883897884</v>
      </c>
      <c r="C11" s="86">
        <f>'6'!C13/'6'!C26</f>
        <v>0.81202633582825623</v>
      </c>
      <c r="D11" s="86">
        <f>'6'!D13/'6'!D26</f>
        <v>0.14391231764527568</v>
      </c>
      <c r="E11" s="86">
        <f>'6'!E13/'6'!E26</f>
        <v>3.4181521016175505E-2</v>
      </c>
      <c r="F11" s="86">
        <f>'6'!F13/'6'!F26</f>
        <v>4.2345790612811278</v>
      </c>
      <c r="G11" s="86">
        <f>'6'!G13/'6'!G26</f>
        <v>7.4873530183037822</v>
      </c>
      <c r="H11" s="86">
        <f>'6'!H13/'6'!H26</f>
        <v>2.6746384859663759</v>
      </c>
      <c r="I11" s="86">
        <f>'6'!I13/'6'!I26</f>
        <v>3.8998969431830965</v>
      </c>
      <c r="J11" s="86">
        <f>'6'!J13/'6'!J26</f>
        <v>1.878625023336156E-3</v>
      </c>
      <c r="K11" s="86">
        <f>'6'!K13/'6'!K26</f>
        <v>2.255393384756547E-3</v>
      </c>
      <c r="L11" s="86">
        <f>'6'!L13/'6'!L26</f>
        <v>0.14025540869596956</v>
      </c>
      <c r="M11" s="86">
        <f>'6'!M13/'6'!M26</f>
        <v>0.19370520856978601</v>
      </c>
      <c r="N11" s="86">
        <f>'6'!N13/'6'!N26</f>
        <v>0.34372449067660138</v>
      </c>
      <c r="O11" s="86">
        <f>'6'!O13/'6'!O26</f>
        <v>0.72195741477811137</v>
      </c>
    </row>
    <row r="12" spans="1:15" s="32" customFormat="1" ht="18" customHeight="1" x14ac:dyDescent="0.2">
      <c r="A12" s="93" t="s">
        <v>77</v>
      </c>
      <c r="B12" s="86">
        <f>'6'!B14/'6'!B10</f>
        <v>0.62190731385959552</v>
      </c>
      <c r="C12" s="86">
        <f>'6'!C14/'6'!C10</f>
        <v>0.71710123231900647</v>
      </c>
      <c r="D12" s="86">
        <f>'6'!D14/'6'!D10</f>
        <v>0.78302213288855704</v>
      </c>
      <c r="E12" s="86">
        <f>'6'!E14/'6'!E10</f>
        <v>0.56250511749127141</v>
      </c>
      <c r="F12" s="86">
        <f>'6'!F14/'6'!F10</f>
        <v>0.86211619777313442</v>
      </c>
      <c r="G12" s="86">
        <f>'6'!G14/'6'!G10</f>
        <v>0.92682246817561154</v>
      </c>
      <c r="H12" s="86">
        <f>'6'!H14/'6'!H10</f>
        <v>0.80589929818579853</v>
      </c>
      <c r="I12" s="86">
        <f>'6'!I14/'6'!I10</f>
        <v>0.84819319470915955</v>
      </c>
      <c r="J12" s="86">
        <f>'6'!J14/'6'!J10</f>
        <v>0.74300580723393428</v>
      </c>
      <c r="K12" s="86">
        <f>'6'!K14/'6'!K10</f>
        <v>0.82642532817771364</v>
      </c>
      <c r="L12" s="86">
        <f>'6'!L14/'6'!L10</f>
        <v>0.39179996334475503</v>
      </c>
      <c r="M12" s="86">
        <f>'6'!M14/'6'!M10</f>
        <v>0.67391169824086117</v>
      </c>
      <c r="N12" s="86">
        <f>'6'!N14/'6'!N10</f>
        <v>0.7132035627452934</v>
      </c>
      <c r="O12" s="86">
        <f>'6'!O14/'6'!O10</f>
        <v>0.59083829409221034</v>
      </c>
    </row>
    <row r="13" spans="1:15" s="32" customFormat="1" ht="18" customHeight="1" x14ac:dyDescent="0.2">
      <c r="A13" s="92" t="s">
        <v>78</v>
      </c>
      <c r="B13" s="62"/>
      <c r="C13" s="62"/>
      <c r="D13" s="62"/>
      <c r="E13" s="62"/>
      <c r="F13" s="62"/>
      <c r="G13" s="62"/>
      <c r="H13" s="62"/>
      <c r="I13" s="62"/>
      <c r="J13" s="62"/>
      <c r="K13" s="62"/>
      <c r="L13" s="62"/>
      <c r="M13" s="62"/>
      <c r="N13" s="62"/>
      <c r="O13" s="62"/>
    </row>
    <row r="14" spans="1:15" s="32" customFormat="1" ht="18" customHeight="1" x14ac:dyDescent="0.2">
      <c r="A14" s="93" t="s">
        <v>79</v>
      </c>
      <c r="B14" s="86">
        <f>'6'!B10/'6'!B14</f>
        <v>1.6079566483853323</v>
      </c>
      <c r="C14" s="86">
        <f>'6'!C10/'6'!C14</f>
        <v>1.3945032513277631</v>
      </c>
      <c r="D14" s="86">
        <f>'6'!D10/'6'!D14</f>
        <v>1.2771031085813818</v>
      </c>
      <c r="E14" s="86">
        <f>'6'!E10/'6'!E14</f>
        <v>1.7777616041253479</v>
      </c>
      <c r="F14" s="86">
        <f>'6'!F10/'6'!F14</f>
        <v>1.1599364477584606</v>
      </c>
      <c r="G14" s="86">
        <f>'6'!G10/'6'!G14</f>
        <v>1.0789552846819019</v>
      </c>
      <c r="H14" s="86">
        <f>'6'!H10/'6'!H14</f>
        <v>1.2408498211267234</v>
      </c>
      <c r="I14" s="86">
        <f>'6'!I10/'6'!I14</f>
        <v>1.1789766838943976</v>
      </c>
      <c r="J14" s="86">
        <f>'6'!J10/'6'!J14</f>
        <v>1.3458845008531024</v>
      </c>
      <c r="K14" s="86">
        <f>'6'!K10/'6'!K14</f>
        <v>1.2100306777927805</v>
      </c>
      <c r="L14" s="86">
        <f>'6'!L10/'6'!L14</f>
        <v>2.5523228523635</v>
      </c>
      <c r="M14" s="86">
        <f>'6'!M10/'6'!M14</f>
        <v>1.4838739297898229</v>
      </c>
      <c r="N14" s="86">
        <f>'6'!N10/'6'!N14</f>
        <v>1.4021242352614696</v>
      </c>
      <c r="O14" s="86">
        <f>'6'!O10/'6'!O14</f>
        <v>1.6925104719836135</v>
      </c>
    </row>
    <row r="15" spans="1:15" s="32" customFormat="1" ht="18" customHeight="1" x14ac:dyDescent="0.2">
      <c r="A15" s="93" t="s">
        <v>80</v>
      </c>
      <c r="B15" s="86">
        <f>'6'!B10/'6'!B12</f>
        <v>2.2913995659236206</v>
      </c>
      <c r="C15" s="86">
        <f>'6'!C10/'6'!C12</f>
        <v>2.0517871798685277</v>
      </c>
      <c r="D15" s="86">
        <f>'6'!D10/'6'!D12</f>
        <v>1.3301474614033482</v>
      </c>
      <c r="E15" s="86">
        <f>'6'!E10/'6'!E12</f>
        <v>1.8263143062305542</v>
      </c>
      <c r="F15" s="86">
        <f>'6'!F10/'6'!F12</f>
        <v>3.5940668802349611</v>
      </c>
      <c r="G15" s="86">
        <f>'6'!G10/'6'!G12</f>
        <v>2.6391041835015221</v>
      </c>
      <c r="H15" s="86">
        <f>'6'!H10/'6'!H12</f>
        <v>3.487357219837532</v>
      </c>
      <c r="I15" s="86">
        <f>'6'!I10/'6'!I12</f>
        <v>3.9037750858754383</v>
      </c>
      <c r="J15" s="86">
        <f>'6'!J10/'6'!J12</f>
        <v>1.3467596081136346</v>
      </c>
      <c r="K15" s="86">
        <f>'6'!K10/'6'!K12</f>
        <v>1.2106041431560424</v>
      </c>
      <c r="L15" s="86">
        <f>'6'!L10/'6'!L12</f>
        <v>3.2626787351009185</v>
      </c>
      <c r="M15" s="86">
        <f>'6'!M10/'6'!M12</f>
        <v>1.6373400085189123</v>
      </c>
      <c r="N15" s="86">
        <f>'6'!N10/'6'!N12</f>
        <v>1.6270093882221499</v>
      </c>
      <c r="O15" s="86">
        <f>'6'!O10/'6'!O12</f>
        <v>3.3847709451917898</v>
      </c>
    </row>
    <row r="16" spans="1:15" s="32" customFormat="1" ht="18" customHeight="1" x14ac:dyDescent="0.2">
      <c r="A16" s="92" t="s">
        <v>81</v>
      </c>
      <c r="B16" s="62"/>
      <c r="C16" s="62"/>
      <c r="D16" s="62"/>
      <c r="E16" s="62"/>
      <c r="F16" s="62"/>
      <c r="G16" s="62"/>
      <c r="H16" s="62"/>
      <c r="I16" s="62"/>
      <c r="J16" s="62"/>
      <c r="K16" s="62"/>
      <c r="L16" s="62"/>
      <c r="M16" s="62"/>
      <c r="N16" s="62"/>
      <c r="O16" s="62"/>
    </row>
    <row r="17" spans="1:15" s="32" customFormat="1" ht="18" customHeight="1" x14ac:dyDescent="0.2">
      <c r="A17" s="93" t="s">
        <v>82</v>
      </c>
      <c r="B17" s="86">
        <f>'6'!B9/'6'!B13</f>
        <v>2.6940732183313663</v>
      </c>
      <c r="C17" s="86">
        <f>'6'!C9/'6'!C13</f>
        <v>2.3454134468539731</v>
      </c>
      <c r="D17" s="86">
        <f>'6'!D9/'6'!D13</f>
        <v>3.4469089264899897</v>
      </c>
      <c r="E17" s="86">
        <f>'6'!E9/'6'!E13</f>
        <v>9.9838828552293233</v>
      </c>
      <c r="F17" s="86">
        <f>'6'!F9/'6'!F13</f>
        <v>1.2162659922511205</v>
      </c>
      <c r="G17" s="86">
        <f>'6'!G9/'6'!G13</f>
        <v>0.98198070919903213</v>
      </c>
      <c r="H17" s="86">
        <f>'6'!H9/'6'!H13</f>
        <v>1.390040410568975</v>
      </c>
      <c r="I17" s="86">
        <f>'6'!I9/'6'!I13</f>
        <v>1.1610285963033575</v>
      </c>
      <c r="J17" s="86">
        <f>'6'!J9/'6'!J13</f>
        <v>517.06420061869176</v>
      </c>
      <c r="K17" s="86">
        <f>'6'!K9/'6'!K13</f>
        <v>447.43457155357402</v>
      </c>
      <c r="L17" s="86">
        <f>'6'!L9/'6'!L13</f>
        <v>7.4862159766845275</v>
      </c>
      <c r="M17" s="86">
        <f>'6'!M9/'6'!M13</f>
        <v>9.7496019918075714</v>
      </c>
      <c r="N17" s="86">
        <f>'6'!N9/'6'!N13</f>
        <v>3.1762802563466463</v>
      </c>
      <c r="O17" s="86">
        <f>'6'!O9/'6'!O13</f>
        <v>2.0292781492388938</v>
      </c>
    </row>
    <row r="18" spans="1:15" s="32" customFormat="1" ht="18" customHeight="1" x14ac:dyDescent="0.2">
      <c r="A18" s="93" t="s">
        <v>83</v>
      </c>
      <c r="B18" s="86">
        <f>'6'!B10/'6'!B14</f>
        <v>1.6079566483853323</v>
      </c>
      <c r="C18" s="86">
        <f>'6'!C10/'6'!C14</f>
        <v>1.3945032513277631</v>
      </c>
      <c r="D18" s="86">
        <f>'6'!D10/'6'!D14</f>
        <v>1.2771031085813818</v>
      </c>
      <c r="E18" s="86">
        <f>'6'!E10/'6'!E14</f>
        <v>1.7777616041253479</v>
      </c>
      <c r="F18" s="86">
        <f>'6'!F10/'6'!F14</f>
        <v>1.1599364477584606</v>
      </c>
      <c r="G18" s="86">
        <f>'6'!G10/'6'!G14</f>
        <v>1.0789552846819019</v>
      </c>
      <c r="H18" s="86">
        <f>'6'!H10/'6'!H14</f>
        <v>1.2408498211267234</v>
      </c>
      <c r="I18" s="86">
        <f>'6'!I10/'6'!I14</f>
        <v>1.1789766838943976</v>
      </c>
      <c r="J18" s="86">
        <f>'6'!J10/'6'!J14</f>
        <v>1.3458845008531024</v>
      </c>
      <c r="K18" s="86">
        <f>'6'!K10/'6'!K14</f>
        <v>1.2100306777927805</v>
      </c>
      <c r="L18" s="86">
        <f>'6'!L10/'6'!L14</f>
        <v>2.5523228523635</v>
      </c>
      <c r="M18" s="86">
        <f>'6'!M10/'6'!M14</f>
        <v>1.4838739297898229</v>
      </c>
      <c r="N18" s="86">
        <f>'6'!N10/'6'!N14</f>
        <v>1.4021242352614696</v>
      </c>
      <c r="O18" s="86">
        <f>'6'!O10/'6'!O14</f>
        <v>1.6925104719836135</v>
      </c>
    </row>
    <row r="19" spans="1:15" s="32" customFormat="1" ht="18" customHeight="1" x14ac:dyDescent="0.2">
      <c r="A19" s="92" t="s">
        <v>84</v>
      </c>
      <c r="B19" s="62"/>
      <c r="C19" s="62"/>
      <c r="D19" s="62"/>
      <c r="E19" s="62"/>
      <c r="F19" s="62"/>
      <c r="G19" s="62"/>
      <c r="H19" s="62"/>
      <c r="I19" s="62"/>
      <c r="J19" s="62"/>
      <c r="K19" s="62"/>
      <c r="L19" s="62"/>
      <c r="M19" s="62"/>
      <c r="N19" s="62"/>
      <c r="O19" s="62"/>
    </row>
    <row r="20" spans="1:15" s="32" customFormat="1" ht="18" customHeight="1" x14ac:dyDescent="0.2">
      <c r="A20" s="93" t="s">
        <v>85</v>
      </c>
      <c r="B20" s="86">
        <f>'6'!B26/'6'!B10</f>
        <v>0.37809268614040453</v>
      </c>
      <c r="C20" s="86">
        <f>'6'!C26/'6'!C10</f>
        <v>0.28289876768099359</v>
      </c>
      <c r="D20" s="86">
        <f>'6'!D26/'6'!D10</f>
        <v>0.21697786711144298</v>
      </c>
      <c r="E20" s="86">
        <f>'6'!E26/'6'!E10</f>
        <v>0.43749488250872859</v>
      </c>
      <c r="F20" s="86">
        <f>'6'!F26/'6'!F10</f>
        <v>0.13788380222686561</v>
      </c>
      <c r="G20" s="86">
        <f>'6'!G26/'6'!G10</f>
        <v>7.317753182438845E-2</v>
      </c>
      <c r="H20" s="86">
        <f>'6'!H26/'6'!H10</f>
        <v>0.1941007018142015</v>
      </c>
      <c r="I20" s="86">
        <f>'6'!I26/'6'!I10</f>
        <v>0.1518068052908404</v>
      </c>
      <c r="J20" s="86">
        <f>'6'!J26/'6'!J10</f>
        <v>0.25699419276606578</v>
      </c>
      <c r="K20" s="86">
        <f>'6'!K26/'6'!K10</f>
        <v>0.17357467182228631</v>
      </c>
      <c r="L20" s="86">
        <f>'6'!L26/'6'!L10</f>
        <v>0.60820003665524491</v>
      </c>
      <c r="M20" s="86">
        <f>'6'!M26/'6'!M10</f>
        <v>0.32608830175913883</v>
      </c>
      <c r="N20" s="86">
        <f>'6'!N26/'6'!N10</f>
        <v>0.2867964372547066</v>
      </c>
      <c r="O20" s="86">
        <f>'6'!O26/'6'!O10</f>
        <v>0.40916170590778966</v>
      </c>
    </row>
    <row r="21" spans="1:15" s="32" customFormat="1" ht="18" customHeight="1" x14ac:dyDescent="0.2">
      <c r="A21" s="92" t="s">
        <v>86</v>
      </c>
      <c r="B21" s="62"/>
      <c r="C21" s="62"/>
      <c r="D21" s="62"/>
      <c r="E21" s="62"/>
      <c r="F21" s="62"/>
      <c r="G21" s="62"/>
      <c r="H21" s="62"/>
      <c r="I21" s="62"/>
      <c r="J21" s="62"/>
      <c r="K21" s="62"/>
      <c r="L21" s="62"/>
      <c r="M21" s="62"/>
      <c r="N21" s="62"/>
      <c r="O21" s="62"/>
    </row>
    <row r="22" spans="1:15" s="32" customFormat="1" ht="18" customHeight="1" x14ac:dyDescent="0.2">
      <c r="A22" s="93" t="s">
        <v>87</v>
      </c>
      <c r="B22" s="86">
        <f>'6'!B31/'6'!B28</f>
        <v>1.8860451052257643E-2</v>
      </c>
      <c r="C22" s="86">
        <f>'6'!C31/'6'!C28</f>
        <v>-3.1319440026940953E-2</v>
      </c>
      <c r="D22" s="86">
        <f>'6'!D31/'6'!D28</f>
        <v>2.587313141111262E-2</v>
      </c>
      <c r="E22" s="86">
        <f>'6'!E31/'6'!E28</f>
        <v>2.165369770372727E-2</v>
      </c>
      <c r="F22" s="86">
        <f>'6'!F31/'6'!F28</f>
        <v>-0.16100808581864998</v>
      </c>
      <c r="G22" s="86">
        <f>'6'!G31/'6'!G28</f>
        <v>-0.12580735914577734</v>
      </c>
      <c r="H22" s="86">
        <f>'6'!H31/'6'!H28</f>
        <v>1.4775139895217195E-2</v>
      </c>
      <c r="I22" s="86">
        <f>'6'!I31/'6'!I28</f>
        <v>1.0778400846687476E-2</v>
      </c>
      <c r="J22" s="86">
        <f>'6'!J31/'6'!J28</f>
        <v>-2.6401695232323601E-2</v>
      </c>
      <c r="K22" s="86">
        <f>'6'!K31/'6'!K28</f>
        <v>-5.0896013172233977E-3</v>
      </c>
      <c r="L22" s="86">
        <f>'6'!L31/'6'!L28</f>
        <v>2.3232605517112537E-2</v>
      </c>
      <c r="M22" s="86">
        <f>'6'!M31/'6'!M28</f>
        <v>-0.18423309385803124</v>
      </c>
      <c r="N22" s="86">
        <f>'6'!N31/'6'!N28</f>
        <v>-9.6048539891613285E-2</v>
      </c>
      <c r="O22" s="86">
        <f>'6'!O31/'6'!O28</f>
        <v>7.8169120942428935E-2</v>
      </c>
    </row>
    <row r="23" spans="1:15" s="32" customFormat="1" ht="18" customHeight="1" x14ac:dyDescent="0.2">
      <c r="A23" s="93" t="s">
        <v>88</v>
      </c>
      <c r="B23" s="86">
        <f>'6'!B36/'6'!B28</f>
        <v>5.505642662567257E-3</v>
      </c>
      <c r="C23" s="86">
        <f>'6'!C36/'6'!C28</f>
        <v>-4.2528652161592163E-2</v>
      </c>
      <c r="D23" s="86">
        <f>'6'!D36/'6'!D28</f>
        <v>1.9911587033788786E-2</v>
      </c>
      <c r="E23" s="86">
        <f>'6'!E36/'6'!E28</f>
        <v>2.0820136335065281E-2</v>
      </c>
      <c r="F23" s="86">
        <f>'6'!F36/'6'!F28</f>
        <v>-8.2502529940293348E-2</v>
      </c>
      <c r="G23" s="86">
        <f>'6'!G36/'6'!G28</f>
        <v>-0.14489258562991306</v>
      </c>
      <c r="H23" s="86">
        <f>'6'!H36/'6'!H28</f>
        <v>2.6156669407795094E-3</v>
      </c>
      <c r="I23" s="86">
        <f>'6'!I36/'6'!I28</f>
        <v>1.8936598451407905E-3</v>
      </c>
      <c r="J23" s="86">
        <f>'6'!J36/'6'!J28</f>
        <v>-0.35270968511347611</v>
      </c>
      <c r="K23" s="86">
        <f>'6'!K36/'6'!K28</f>
        <v>-3.8471910984508854E-2</v>
      </c>
      <c r="L23" s="86">
        <f>'6'!L36/'6'!L28</f>
        <v>3.6067191134246361E-5</v>
      </c>
      <c r="M23" s="86">
        <f>'6'!M36/'6'!M28</f>
        <v>-0.21531004441250071</v>
      </c>
      <c r="N23" s="86">
        <f>'6'!N36/'6'!N28</f>
        <v>-0.24841347776834269</v>
      </c>
      <c r="O23" s="86">
        <f>'6'!O36/'6'!O28</f>
        <v>4.8617467772016379E-2</v>
      </c>
    </row>
    <row r="24" spans="1:15" s="32" customFormat="1" ht="18" customHeight="1" x14ac:dyDescent="0.2">
      <c r="A24" s="92" t="s">
        <v>89</v>
      </c>
      <c r="B24" s="62"/>
      <c r="C24" s="62"/>
      <c r="D24" s="62"/>
      <c r="E24" s="62"/>
      <c r="F24" s="62"/>
      <c r="G24" s="62"/>
      <c r="H24" s="62"/>
      <c r="I24" s="62"/>
      <c r="J24" s="62"/>
      <c r="K24" s="62"/>
      <c r="L24" s="62"/>
      <c r="M24" s="62"/>
      <c r="N24" s="62"/>
      <c r="O24" s="62"/>
    </row>
    <row r="25" spans="1:15" s="32" customFormat="1" ht="18" customHeight="1" x14ac:dyDescent="0.2">
      <c r="A25" s="94" t="s">
        <v>90</v>
      </c>
      <c r="B25" s="93">
        <f>'6'!B8-'6'!B12</f>
        <v>13403945292</v>
      </c>
      <c r="C25" s="93">
        <f>'6'!C8-'6'!C12</f>
        <v>-5476231283</v>
      </c>
      <c r="D25" s="93">
        <f>'6'!D8-'6'!D12</f>
        <v>8458385337</v>
      </c>
      <c r="E25" s="93">
        <f>'6'!E8-'6'!E12</f>
        <v>11642251736</v>
      </c>
      <c r="F25" s="93">
        <f>'6'!F8-'6'!F12</f>
        <v>130054587</v>
      </c>
      <c r="G25" s="93">
        <f>'6'!G8-'6'!G12</f>
        <v>994022712</v>
      </c>
      <c r="H25" s="93">
        <f>'6'!H8-'6'!H12</f>
        <v>-364037351</v>
      </c>
      <c r="I25" s="93">
        <f>'6'!I8-'6'!I12</f>
        <v>3254106744</v>
      </c>
      <c r="J25" s="93">
        <f>'6'!J8-'6'!J12</f>
        <v>15024895</v>
      </c>
      <c r="K25" s="93">
        <f>'6'!K8-'6'!K12</f>
        <v>-3663451</v>
      </c>
      <c r="L25" s="88">
        <f>'6'!L8-'6'!L12</f>
        <v>4973330332</v>
      </c>
      <c r="M25" s="93">
        <f>'6'!M8-'6'!M12</f>
        <v>-21643013478</v>
      </c>
      <c r="N25" s="88">
        <f>'6'!N8-'6'!N12</f>
        <v>191187492</v>
      </c>
      <c r="O25" s="88">
        <f>'6'!O8-'6'!O12</f>
        <v>280064454</v>
      </c>
    </row>
    <row r="26" spans="1:15" ht="15.75" customHeight="1" x14ac:dyDescent="0.2">
      <c r="A26" s="10" t="s">
        <v>125</v>
      </c>
      <c r="B26" s="17"/>
      <c r="C26" s="17"/>
      <c r="D26" s="17"/>
      <c r="E26" s="17"/>
      <c r="F26" s="17"/>
      <c r="G26" s="17"/>
      <c r="H26" s="17"/>
      <c r="I26" s="17"/>
      <c r="J26" s="17"/>
      <c r="K26" s="17"/>
      <c r="L26" s="17"/>
      <c r="M26" s="17"/>
      <c r="N26" s="17"/>
      <c r="O26" s="17"/>
    </row>
    <row r="27" spans="1:15" x14ac:dyDescent="0.2">
      <c r="A27" s="17"/>
      <c r="B27" s="17"/>
      <c r="C27" s="17"/>
      <c r="D27" s="17"/>
      <c r="E27" s="17"/>
      <c r="F27" s="17"/>
      <c r="G27" s="17"/>
      <c r="H27" s="17"/>
      <c r="I27" s="17"/>
      <c r="J27" s="17"/>
      <c r="K27" s="17"/>
      <c r="L27" s="17"/>
      <c r="M27" s="17"/>
      <c r="N27" s="17"/>
      <c r="O27" s="17"/>
    </row>
    <row r="28" spans="1:15" x14ac:dyDescent="0.2">
      <c r="A28" s="17"/>
      <c r="B28" s="17"/>
      <c r="C28" s="17"/>
      <c r="D28" s="17"/>
      <c r="E28" s="17"/>
      <c r="F28" s="17"/>
      <c r="G28" s="17"/>
      <c r="H28" s="17"/>
      <c r="I28" s="17"/>
      <c r="J28" s="17"/>
      <c r="K28" s="17"/>
      <c r="L28" s="17"/>
      <c r="M28" s="17"/>
      <c r="N28" s="17"/>
      <c r="O28" s="17"/>
    </row>
    <row r="29" spans="1:15" x14ac:dyDescent="0.2">
      <c r="A29" s="17"/>
      <c r="B29" s="17"/>
      <c r="C29" s="17"/>
      <c r="D29" s="17"/>
      <c r="E29" s="17"/>
      <c r="F29" s="17"/>
      <c r="G29" s="17"/>
      <c r="H29" s="17"/>
      <c r="I29" s="17"/>
      <c r="J29" s="17"/>
      <c r="K29" s="17"/>
      <c r="L29" s="17"/>
      <c r="M29" s="17"/>
      <c r="N29" s="17"/>
      <c r="O29" s="17"/>
    </row>
    <row r="30" spans="1:15" x14ac:dyDescent="0.2">
      <c r="A30" s="17"/>
      <c r="B30" s="17"/>
      <c r="C30" s="17"/>
      <c r="D30" s="17"/>
      <c r="E30" s="17"/>
      <c r="F30" s="17"/>
      <c r="G30" s="17"/>
      <c r="H30" s="17"/>
      <c r="I30" s="17"/>
      <c r="J30" s="17"/>
      <c r="K30" s="17"/>
      <c r="L30" s="17"/>
      <c r="M30" s="17"/>
      <c r="N30" s="17"/>
      <c r="O30" s="17"/>
    </row>
    <row r="31" spans="1:15" x14ac:dyDescent="0.2">
      <c r="A31" s="17"/>
      <c r="B31" s="17"/>
      <c r="C31" s="17"/>
      <c r="D31" s="17"/>
      <c r="E31" s="17"/>
      <c r="F31" s="17"/>
      <c r="G31" s="17"/>
      <c r="H31" s="17"/>
      <c r="I31" s="17"/>
      <c r="J31" s="17"/>
      <c r="K31" s="17"/>
      <c r="L31" s="17"/>
      <c r="M31" s="17"/>
      <c r="N31" s="17"/>
      <c r="O31" s="17"/>
    </row>
    <row r="32" spans="1:15" x14ac:dyDescent="0.2">
      <c r="A32" s="17"/>
      <c r="B32" s="17"/>
      <c r="C32" s="17"/>
      <c r="D32" s="17"/>
      <c r="E32" s="17"/>
      <c r="F32" s="17"/>
      <c r="G32" s="17"/>
      <c r="H32" s="17"/>
      <c r="I32" s="17"/>
      <c r="J32" s="17"/>
      <c r="K32" s="17"/>
      <c r="L32" s="17"/>
      <c r="M32" s="17"/>
      <c r="N32" s="17"/>
      <c r="O32" s="17"/>
    </row>
    <row r="33" spans="1:15" x14ac:dyDescent="0.2">
      <c r="A33" s="17"/>
      <c r="B33" s="17"/>
      <c r="C33" s="17"/>
      <c r="D33" s="17"/>
      <c r="E33" s="17"/>
      <c r="F33" s="17"/>
      <c r="G33" s="17"/>
      <c r="H33" s="17"/>
      <c r="I33" s="17"/>
      <c r="J33" s="17"/>
      <c r="K33" s="17"/>
      <c r="L33" s="17"/>
      <c r="M33" s="17"/>
      <c r="N33" s="17"/>
      <c r="O33" s="17"/>
    </row>
    <row r="34" spans="1:15" x14ac:dyDescent="0.2">
      <c r="A34" s="154"/>
      <c r="B34" s="155"/>
      <c r="C34" s="155"/>
      <c r="D34" s="17"/>
      <c r="E34" s="17"/>
      <c r="F34" s="17"/>
      <c r="G34" s="17"/>
      <c r="H34" s="17"/>
      <c r="I34" s="17"/>
      <c r="J34" s="17"/>
      <c r="K34" s="17"/>
      <c r="L34" s="17"/>
      <c r="M34" s="17"/>
      <c r="N34" s="17"/>
      <c r="O34" s="17"/>
    </row>
    <row r="35" spans="1:15" x14ac:dyDescent="0.2">
      <c r="A35" s="17"/>
      <c r="B35" s="17"/>
      <c r="C35" s="17"/>
      <c r="D35" s="17"/>
      <c r="E35" s="17"/>
      <c r="F35" s="17"/>
      <c r="G35" s="17"/>
      <c r="H35" s="17"/>
      <c r="I35" s="17"/>
      <c r="J35" s="17"/>
      <c r="K35" s="17"/>
      <c r="L35" s="17"/>
      <c r="M35" s="17"/>
      <c r="N35" s="17"/>
      <c r="O35" s="17"/>
    </row>
    <row r="36" spans="1:15" x14ac:dyDescent="0.2">
      <c r="A36" s="17"/>
      <c r="B36" s="17"/>
      <c r="C36" s="17"/>
      <c r="D36" s="17"/>
      <c r="E36" s="17"/>
      <c r="F36" s="17"/>
      <c r="G36" s="17"/>
      <c r="H36" s="17"/>
      <c r="I36" s="17"/>
      <c r="J36" s="17"/>
      <c r="K36" s="17"/>
      <c r="L36" s="17"/>
      <c r="M36" s="17"/>
      <c r="N36" s="17"/>
      <c r="O36" s="17"/>
    </row>
    <row r="37" spans="1:15" x14ac:dyDescent="0.2">
      <c r="A37" s="17"/>
      <c r="B37" s="156"/>
      <c r="C37" s="156"/>
      <c r="D37" s="17"/>
      <c r="E37" s="17"/>
      <c r="F37" s="17"/>
      <c r="G37" s="17"/>
      <c r="H37" s="17"/>
      <c r="I37" s="17"/>
      <c r="J37" s="17"/>
      <c r="K37" s="17"/>
      <c r="L37" s="17"/>
      <c r="M37" s="17"/>
      <c r="N37" s="17"/>
      <c r="O37" s="17"/>
    </row>
    <row r="38" spans="1:15" x14ac:dyDescent="0.2">
      <c r="A38" s="17"/>
      <c r="B38" s="17"/>
      <c r="C38" s="17"/>
      <c r="D38" s="17"/>
      <c r="E38" s="17"/>
      <c r="F38" s="17"/>
      <c r="G38" s="17"/>
      <c r="H38" s="17"/>
      <c r="I38" s="17"/>
      <c r="J38" s="17"/>
      <c r="K38" s="17"/>
      <c r="L38" s="17"/>
      <c r="M38" s="17"/>
      <c r="N38" s="17"/>
      <c r="O38" s="17"/>
    </row>
    <row r="39" spans="1:15" x14ac:dyDescent="0.2">
      <c r="A39" s="17"/>
      <c r="B39" s="17"/>
      <c r="C39" s="17"/>
      <c r="D39" s="17"/>
      <c r="E39" s="17"/>
      <c r="F39" s="17"/>
      <c r="G39" s="17"/>
      <c r="H39" s="17"/>
      <c r="I39" s="17"/>
      <c r="J39" s="17"/>
      <c r="K39" s="17"/>
      <c r="L39" s="17"/>
      <c r="M39" s="17"/>
      <c r="N39" s="17"/>
      <c r="O39" s="17"/>
    </row>
    <row r="40" spans="1:15" x14ac:dyDescent="0.2">
      <c r="A40" s="17"/>
      <c r="B40" s="17"/>
      <c r="C40" s="17"/>
      <c r="D40" s="17"/>
      <c r="E40" s="17"/>
      <c r="F40" s="17"/>
      <c r="G40" s="17"/>
      <c r="H40" s="17"/>
      <c r="I40" s="17"/>
      <c r="J40" s="17"/>
      <c r="K40" s="17"/>
      <c r="L40" s="17"/>
      <c r="M40" s="17"/>
      <c r="N40" s="17"/>
      <c r="O40" s="17"/>
    </row>
    <row r="41" spans="1:15" x14ac:dyDescent="0.2">
      <c r="A41" s="17"/>
      <c r="B41" s="17"/>
      <c r="C41" s="17"/>
      <c r="D41" s="17"/>
      <c r="E41" s="17"/>
      <c r="F41" s="17"/>
      <c r="G41" s="17"/>
      <c r="H41" s="17"/>
      <c r="I41" s="17"/>
      <c r="J41" s="17"/>
      <c r="K41" s="17"/>
      <c r="L41" s="17"/>
      <c r="M41" s="17"/>
      <c r="N41" s="17"/>
      <c r="O41" s="17"/>
    </row>
    <row r="42" spans="1:15" x14ac:dyDescent="0.2">
      <c r="A42" s="17"/>
      <c r="B42" s="17"/>
      <c r="C42" s="17"/>
      <c r="D42" s="17"/>
      <c r="E42" s="17"/>
      <c r="F42" s="17"/>
      <c r="G42" s="17"/>
      <c r="H42" s="17"/>
      <c r="I42" s="17"/>
      <c r="J42" s="17"/>
      <c r="K42" s="17"/>
      <c r="L42" s="17"/>
      <c r="M42" s="17"/>
      <c r="N42" s="17"/>
      <c r="O42" s="17"/>
    </row>
    <row r="43" spans="1:15" x14ac:dyDescent="0.2">
      <c r="A43" s="17"/>
      <c r="B43" s="17"/>
      <c r="C43" s="17"/>
      <c r="D43" s="17"/>
      <c r="E43" s="17"/>
      <c r="F43" s="17"/>
      <c r="G43" s="17"/>
      <c r="H43" s="17"/>
      <c r="I43" s="17"/>
      <c r="J43" s="17"/>
      <c r="K43" s="17"/>
      <c r="L43" s="17"/>
      <c r="M43" s="17"/>
      <c r="N43" s="17"/>
      <c r="O43" s="17"/>
    </row>
    <row r="44" spans="1:15" x14ac:dyDescent="0.2">
      <c r="A44" s="17"/>
      <c r="B44" s="17"/>
      <c r="C44" s="17"/>
      <c r="D44" s="17"/>
      <c r="E44" s="17"/>
      <c r="F44" s="17"/>
      <c r="G44" s="17"/>
      <c r="H44" s="17"/>
      <c r="I44" s="17"/>
      <c r="J44" s="17"/>
      <c r="K44" s="17"/>
      <c r="L44" s="17"/>
      <c r="M44" s="17"/>
      <c r="N44" s="17"/>
      <c r="O44" s="17"/>
    </row>
    <row r="45" spans="1:15" x14ac:dyDescent="0.2">
      <c r="A45" s="17"/>
      <c r="B45" s="17"/>
      <c r="C45" s="17"/>
      <c r="D45" s="17"/>
      <c r="E45" s="17"/>
      <c r="F45" s="17"/>
      <c r="G45" s="17"/>
      <c r="H45" s="17"/>
      <c r="I45" s="17"/>
      <c r="J45" s="17"/>
      <c r="K45" s="17"/>
      <c r="L45" s="17"/>
      <c r="M45" s="17"/>
      <c r="N45" s="17"/>
      <c r="O45" s="17"/>
    </row>
    <row r="46" spans="1:15" x14ac:dyDescent="0.2">
      <c r="A46" s="17"/>
      <c r="B46" s="17"/>
      <c r="C46" s="17"/>
      <c r="D46" s="17"/>
      <c r="E46" s="17"/>
      <c r="F46" s="17"/>
      <c r="G46" s="17"/>
      <c r="H46" s="17"/>
      <c r="I46" s="17"/>
      <c r="J46" s="17"/>
      <c r="K46" s="17"/>
      <c r="L46" s="17"/>
      <c r="M46" s="17"/>
      <c r="N46" s="17"/>
      <c r="O46" s="17"/>
    </row>
    <row r="47" spans="1:15" x14ac:dyDescent="0.2">
      <c r="A47" s="17"/>
      <c r="B47" s="17"/>
      <c r="C47" s="17"/>
      <c r="D47" s="17"/>
      <c r="E47" s="17"/>
      <c r="F47" s="17"/>
      <c r="G47" s="17"/>
      <c r="H47" s="17"/>
      <c r="I47" s="17"/>
      <c r="J47" s="17"/>
      <c r="K47" s="17"/>
      <c r="L47" s="17"/>
      <c r="M47" s="17"/>
      <c r="N47" s="17"/>
      <c r="O47" s="17"/>
    </row>
    <row r="48" spans="1:15" x14ac:dyDescent="0.2">
      <c r="A48" s="17"/>
      <c r="B48" s="17"/>
      <c r="C48" s="17"/>
      <c r="D48" s="17"/>
      <c r="E48" s="17"/>
      <c r="F48" s="17"/>
      <c r="G48" s="17"/>
      <c r="H48" s="17"/>
      <c r="I48" s="17"/>
      <c r="J48" s="17"/>
      <c r="K48" s="17"/>
      <c r="L48" s="17"/>
      <c r="M48" s="17"/>
      <c r="N48" s="17"/>
      <c r="O48" s="17"/>
    </row>
    <row r="49" s="17" customFormat="1" x14ac:dyDescent="0.2"/>
    <row r="50" s="17" customFormat="1" x14ac:dyDescent="0.2"/>
    <row r="51" s="17" customFormat="1" x14ac:dyDescent="0.2"/>
    <row r="52" s="17" customFormat="1" x14ac:dyDescent="0.2"/>
    <row r="53" s="17" customFormat="1" x14ac:dyDescent="0.2"/>
    <row r="54" s="17" customFormat="1" x14ac:dyDescent="0.2"/>
    <row r="55" s="17" customFormat="1" x14ac:dyDescent="0.2"/>
    <row r="56" s="17" customFormat="1" x14ac:dyDescent="0.2"/>
    <row r="57" s="17" customFormat="1" x14ac:dyDescent="0.2"/>
    <row r="58" s="17" customFormat="1" x14ac:dyDescent="0.2"/>
    <row r="59" s="17" customFormat="1" x14ac:dyDescent="0.2"/>
    <row r="60" s="17" customFormat="1" x14ac:dyDescent="0.2"/>
    <row r="61" s="17" customFormat="1" x14ac:dyDescent="0.2"/>
    <row r="62" s="17" customFormat="1" x14ac:dyDescent="0.2"/>
    <row r="63" s="17" customFormat="1" x14ac:dyDescent="0.2"/>
    <row r="64" s="17" customFormat="1" x14ac:dyDescent="0.2"/>
    <row r="65" s="17" customFormat="1" x14ac:dyDescent="0.2"/>
    <row r="66" s="17" customFormat="1" x14ac:dyDescent="0.2"/>
    <row r="67" s="17" customFormat="1" x14ac:dyDescent="0.2"/>
    <row r="68" s="17" customFormat="1" x14ac:dyDescent="0.2"/>
    <row r="69" s="17" customFormat="1" x14ac:dyDescent="0.2"/>
    <row r="70" s="17" customFormat="1" x14ac:dyDescent="0.2"/>
    <row r="71" s="17" customFormat="1" x14ac:dyDescent="0.2"/>
    <row r="72" s="17" customFormat="1" x14ac:dyDescent="0.2"/>
    <row r="73" s="17" customFormat="1" x14ac:dyDescent="0.2"/>
    <row r="74" s="17" customFormat="1" x14ac:dyDescent="0.2"/>
    <row r="75" s="17" customFormat="1" x14ac:dyDescent="0.2"/>
    <row r="76" s="17" customFormat="1" x14ac:dyDescent="0.2"/>
    <row r="77" s="17" customFormat="1" x14ac:dyDescent="0.2"/>
    <row r="78" s="17" customFormat="1" x14ac:dyDescent="0.2"/>
    <row r="79" s="17" customFormat="1" x14ac:dyDescent="0.2"/>
    <row r="80" s="17" customFormat="1" x14ac:dyDescent="0.2"/>
    <row r="81" s="17" customFormat="1" x14ac:dyDescent="0.2"/>
    <row r="82" s="17" customFormat="1" x14ac:dyDescent="0.2"/>
    <row r="83" s="17" customFormat="1" x14ac:dyDescent="0.2"/>
    <row r="84" s="17" customFormat="1" x14ac:dyDescent="0.2"/>
    <row r="85" s="17" customFormat="1" x14ac:dyDescent="0.2"/>
    <row r="86" s="17" customFormat="1" x14ac:dyDescent="0.2"/>
    <row r="87" s="17" customFormat="1" x14ac:dyDescent="0.2"/>
    <row r="88" s="17" customFormat="1" x14ac:dyDescent="0.2"/>
    <row r="89" s="17" customFormat="1" x14ac:dyDescent="0.2"/>
    <row r="90" s="17" customFormat="1" x14ac:dyDescent="0.2"/>
    <row r="91" s="17" customFormat="1" x14ac:dyDescent="0.2"/>
    <row r="92" s="17" customFormat="1" x14ac:dyDescent="0.2"/>
    <row r="93" s="17" customFormat="1" x14ac:dyDescent="0.2"/>
    <row r="94" s="17" customFormat="1" x14ac:dyDescent="0.2"/>
    <row r="95" s="17" customFormat="1" x14ac:dyDescent="0.2"/>
    <row r="96" s="17" customFormat="1" x14ac:dyDescent="0.2"/>
    <row r="97" s="17" customFormat="1" x14ac:dyDescent="0.2"/>
    <row r="98" s="17" customFormat="1" x14ac:dyDescent="0.2"/>
    <row r="99" s="17" customFormat="1" x14ac:dyDescent="0.2"/>
    <row r="100" s="17" customFormat="1" x14ac:dyDescent="0.2"/>
    <row r="101" s="17" customFormat="1" x14ac:dyDescent="0.2"/>
    <row r="102" s="17" customFormat="1" x14ac:dyDescent="0.2"/>
    <row r="103" s="17" customFormat="1" x14ac:dyDescent="0.2"/>
    <row r="104" s="17" customFormat="1" x14ac:dyDescent="0.2"/>
    <row r="105" s="17" customFormat="1" x14ac:dyDescent="0.2"/>
    <row r="106" s="17" customFormat="1" x14ac:dyDescent="0.2"/>
    <row r="107" s="17" customFormat="1" x14ac:dyDescent="0.2"/>
    <row r="108" s="17" customFormat="1" x14ac:dyDescent="0.2"/>
    <row r="109" s="17" customFormat="1" x14ac:dyDescent="0.2"/>
    <row r="110" s="17" customFormat="1" x14ac:dyDescent="0.2"/>
    <row r="111" s="17" customFormat="1" x14ac:dyDescent="0.2"/>
    <row r="112" s="17" customFormat="1" x14ac:dyDescent="0.2"/>
    <row r="113" s="17" customFormat="1" x14ac:dyDescent="0.2"/>
    <row r="114" s="17" customFormat="1" x14ac:dyDescent="0.2"/>
    <row r="115" s="17" customFormat="1" x14ac:dyDescent="0.2"/>
    <row r="116" s="17" customFormat="1" x14ac:dyDescent="0.2"/>
    <row r="117" s="17" customFormat="1" x14ac:dyDescent="0.2"/>
    <row r="118" s="17" customFormat="1" x14ac:dyDescent="0.2"/>
    <row r="119" s="17" customFormat="1" x14ac:dyDescent="0.2"/>
    <row r="120" s="17" customFormat="1" x14ac:dyDescent="0.2"/>
    <row r="121" s="17" customFormat="1" x14ac:dyDescent="0.2"/>
    <row r="122" s="17" customFormat="1" x14ac:dyDescent="0.2"/>
    <row r="123" s="17" customFormat="1" x14ac:dyDescent="0.2"/>
    <row r="124" s="17" customFormat="1" x14ac:dyDescent="0.2"/>
    <row r="125" s="17" customFormat="1" x14ac:dyDescent="0.2"/>
    <row r="126" s="17" customFormat="1" x14ac:dyDescent="0.2"/>
    <row r="127" s="17" customFormat="1" x14ac:dyDescent="0.2"/>
    <row r="128" s="17" customFormat="1" x14ac:dyDescent="0.2"/>
    <row r="129" s="17" customFormat="1" x14ac:dyDescent="0.2"/>
    <row r="130" s="17" customFormat="1" x14ac:dyDescent="0.2"/>
    <row r="131" s="17" customFormat="1" x14ac:dyDescent="0.2"/>
    <row r="132" s="17" customFormat="1" x14ac:dyDescent="0.2"/>
    <row r="133" s="17" customFormat="1" x14ac:dyDescent="0.2"/>
    <row r="134" s="17" customFormat="1" x14ac:dyDescent="0.2"/>
    <row r="135" s="17" customFormat="1" x14ac:dyDescent="0.2"/>
    <row r="136" s="17" customFormat="1" x14ac:dyDescent="0.2"/>
    <row r="137" s="17" customFormat="1" x14ac:dyDescent="0.2"/>
    <row r="138" s="17" customFormat="1" x14ac:dyDescent="0.2"/>
    <row r="139" s="17" customFormat="1" x14ac:dyDescent="0.2"/>
    <row r="140" s="17" customFormat="1" x14ac:dyDescent="0.2"/>
    <row r="141" s="17" customFormat="1" x14ac:dyDescent="0.2"/>
    <row r="142" s="17" customFormat="1" x14ac:dyDescent="0.2"/>
    <row r="143" s="17" customFormat="1" x14ac:dyDescent="0.2"/>
    <row r="144" s="17" customFormat="1" x14ac:dyDescent="0.2"/>
    <row r="145" s="17" customFormat="1" x14ac:dyDescent="0.2"/>
    <row r="146" s="17" customFormat="1" x14ac:dyDescent="0.2"/>
    <row r="147" s="17" customFormat="1" x14ac:dyDescent="0.2"/>
    <row r="148" s="17" customFormat="1" x14ac:dyDescent="0.2"/>
    <row r="149" s="17" customFormat="1" x14ac:dyDescent="0.2"/>
    <row r="150" s="17" customFormat="1" x14ac:dyDescent="0.2"/>
    <row r="151" s="17" customFormat="1" x14ac:dyDescent="0.2"/>
    <row r="152" s="17" customFormat="1" x14ac:dyDescent="0.2"/>
    <row r="153" s="17" customFormat="1" x14ac:dyDescent="0.2"/>
    <row r="154" s="17" customFormat="1" x14ac:dyDescent="0.2"/>
    <row r="155" s="17" customFormat="1" x14ac:dyDescent="0.2"/>
    <row r="156" s="17" customFormat="1" x14ac:dyDescent="0.2"/>
    <row r="157" s="17" customFormat="1" x14ac:dyDescent="0.2"/>
    <row r="158" s="17" customFormat="1" x14ac:dyDescent="0.2"/>
    <row r="159" s="17" customFormat="1" x14ac:dyDescent="0.2"/>
    <row r="160" s="17" customFormat="1" x14ac:dyDescent="0.2"/>
    <row r="161" s="17" customFormat="1" x14ac:dyDescent="0.2"/>
    <row r="162" s="17" customFormat="1" x14ac:dyDescent="0.2"/>
    <row r="163" s="17" customFormat="1" x14ac:dyDescent="0.2"/>
    <row r="164" s="17" customFormat="1" x14ac:dyDescent="0.2"/>
    <row r="165" s="17" customFormat="1" x14ac:dyDescent="0.2"/>
    <row r="166" s="17" customFormat="1" x14ac:dyDescent="0.2"/>
    <row r="167" s="17" customFormat="1" x14ac:dyDescent="0.2"/>
    <row r="168" s="17" customFormat="1" x14ac:dyDescent="0.2"/>
    <row r="169" s="17" customFormat="1" x14ac:dyDescent="0.2"/>
    <row r="170" s="17" customFormat="1" x14ac:dyDescent="0.2"/>
    <row r="171" s="17" customFormat="1" x14ac:dyDescent="0.2"/>
    <row r="172" s="17" customFormat="1" x14ac:dyDescent="0.2"/>
    <row r="173" s="17" customFormat="1" x14ac:dyDescent="0.2"/>
    <row r="174" s="17" customFormat="1" x14ac:dyDescent="0.2"/>
    <row r="175" s="17" customFormat="1" x14ac:dyDescent="0.2"/>
    <row r="176" s="17" customFormat="1" x14ac:dyDescent="0.2"/>
    <row r="177" s="17" customFormat="1" x14ac:dyDescent="0.2"/>
    <row r="178" s="17" customFormat="1" x14ac:dyDescent="0.2"/>
    <row r="179" s="17" customFormat="1" x14ac:dyDescent="0.2"/>
    <row r="180" s="17" customFormat="1" x14ac:dyDescent="0.2"/>
    <row r="181" s="17" customFormat="1" x14ac:dyDescent="0.2"/>
    <row r="182" s="17" customFormat="1" x14ac:dyDescent="0.2"/>
    <row r="183" s="17" customFormat="1" x14ac:dyDescent="0.2"/>
    <row r="184" s="17" customFormat="1" x14ac:dyDescent="0.2"/>
    <row r="185" s="17" customFormat="1" x14ac:dyDescent="0.2"/>
    <row r="186" s="17" customFormat="1" x14ac:dyDescent="0.2"/>
    <row r="187" s="17" customFormat="1" x14ac:dyDescent="0.2"/>
    <row r="188" s="17" customFormat="1" x14ac:dyDescent="0.2"/>
    <row r="189" s="17" customFormat="1" x14ac:dyDescent="0.2"/>
    <row r="190" s="17" customFormat="1" x14ac:dyDescent="0.2"/>
    <row r="191" s="17" customFormat="1" x14ac:dyDescent="0.2"/>
    <row r="192" s="17" customFormat="1" x14ac:dyDescent="0.2"/>
    <row r="193" s="17" customFormat="1" x14ac:dyDescent="0.2"/>
    <row r="194" s="17" customFormat="1" x14ac:dyDescent="0.2"/>
    <row r="195" s="17" customFormat="1" x14ac:dyDescent="0.2"/>
    <row r="196" s="17" customFormat="1" x14ac:dyDescent="0.2"/>
    <row r="197" s="17" customFormat="1" x14ac:dyDescent="0.2"/>
    <row r="198" s="17" customFormat="1" x14ac:dyDescent="0.2"/>
    <row r="199" s="17" customFormat="1" x14ac:dyDescent="0.2"/>
    <row r="200" s="17" customFormat="1" x14ac:dyDescent="0.2"/>
    <row r="201" s="17" customFormat="1" x14ac:dyDescent="0.2"/>
    <row r="202" s="17" customFormat="1" x14ac:dyDescent="0.2"/>
    <row r="203" s="17" customFormat="1" x14ac:dyDescent="0.2"/>
    <row r="204" s="17" customFormat="1" x14ac:dyDescent="0.2"/>
    <row r="205" s="17" customFormat="1" x14ac:dyDescent="0.2"/>
    <row r="206" s="17" customFormat="1" x14ac:dyDescent="0.2"/>
    <row r="207" s="17" customFormat="1" x14ac:dyDescent="0.2"/>
    <row r="208" s="17" customFormat="1" x14ac:dyDescent="0.2"/>
    <row r="209" s="17" customFormat="1" x14ac:dyDescent="0.2"/>
    <row r="210" s="17" customFormat="1" x14ac:dyDescent="0.2"/>
    <row r="211" s="17" customFormat="1" x14ac:dyDescent="0.2"/>
    <row r="212" s="17" customFormat="1" x14ac:dyDescent="0.2"/>
    <row r="213" s="17" customFormat="1" x14ac:dyDescent="0.2"/>
    <row r="214" s="17" customFormat="1" x14ac:dyDescent="0.2"/>
    <row r="215" s="17" customFormat="1" x14ac:dyDescent="0.2"/>
    <row r="216" s="17" customFormat="1" x14ac:dyDescent="0.2"/>
    <row r="217" s="17" customFormat="1" x14ac:dyDescent="0.2"/>
    <row r="218" s="17" customFormat="1" x14ac:dyDescent="0.2"/>
    <row r="219" s="17" customFormat="1" x14ac:dyDescent="0.2"/>
    <row r="220" s="17" customFormat="1" x14ac:dyDescent="0.2"/>
    <row r="221" s="17" customFormat="1" x14ac:dyDescent="0.2"/>
    <row r="222" s="17" customFormat="1" x14ac:dyDescent="0.2"/>
    <row r="223" s="17" customFormat="1" x14ac:dyDescent="0.2"/>
    <row r="224" s="17" customFormat="1" x14ac:dyDescent="0.2"/>
    <row r="225" s="17" customFormat="1" x14ac:dyDescent="0.2"/>
    <row r="226" s="17" customFormat="1" x14ac:dyDescent="0.2"/>
    <row r="227" s="17" customFormat="1" x14ac:dyDescent="0.2"/>
    <row r="228" s="17" customFormat="1" x14ac:dyDescent="0.2"/>
    <row r="229" s="17" customFormat="1" x14ac:dyDescent="0.2"/>
    <row r="230" s="17" customFormat="1" x14ac:dyDescent="0.2"/>
    <row r="231" s="17" customFormat="1" x14ac:dyDescent="0.2"/>
    <row r="232" s="17" customFormat="1" x14ac:dyDescent="0.2"/>
    <row r="233" s="17" customFormat="1" x14ac:dyDescent="0.2"/>
    <row r="234" s="17" customFormat="1" x14ac:dyDescent="0.2"/>
    <row r="235" s="17" customFormat="1" x14ac:dyDescent="0.2"/>
    <row r="236" s="17" customFormat="1" x14ac:dyDescent="0.2"/>
    <row r="237" s="17" customFormat="1" x14ac:dyDescent="0.2"/>
    <row r="238" s="17" customFormat="1" x14ac:dyDescent="0.2"/>
    <row r="239" s="17" customFormat="1" x14ac:dyDescent="0.2"/>
    <row r="240" s="17" customFormat="1" x14ac:dyDescent="0.2"/>
    <row r="241" s="17" customFormat="1" x14ac:dyDescent="0.2"/>
    <row r="242" s="17" customFormat="1" x14ac:dyDescent="0.2"/>
    <row r="243" s="17" customFormat="1" x14ac:dyDescent="0.2"/>
    <row r="244" s="17" customFormat="1" x14ac:dyDescent="0.2"/>
    <row r="245" s="17" customFormat="1" x14ac:dyDescent="0.2"/>
    <row r="246" s="17" customFormat="1" x14ac:dyDescent="0.2"/>
    <row r="247" s="17" customFormat="1" x14ac:dyDescent="0.2"/>
    <row r="248" s="17" customFormat="1" x14ac:dyDescent="0.2"/>
    <row r="249" s="17" customFormat="1" x14ac:dyDescent="0.2"/>
    <row r="250" s="17" customFormat="1" x14ac:dyDescent="0.2"/>
    <row r="251" s="17" customFormat="1" x14ac:dyDescent="0.2"/>
    <row r="252" s="17" customFormat="1" x14ac:dyDescent="0.2"/>
    <row r="253" s="17" customFormat="1" x14ac:dyDescent="0.2"/>
    <row r="254" s="17" customFormat="1" x14ac:dyDescent="0.2"/>
    <row r="255" s="17" customFormat="1" x14ac:dyDescent="0.2"/>
    <row r="256" s="17" customFormat="1" x14ac:dyDescent="0.2"/>
    <row r="257" s="17" customFormat="1" x14ac:dyDescent="0.2"/>
    <row r="258" s="17" customFormat="1" x14ac:dyDescent="0.2"/>
    <row r="259" s="17" customFormat="1" x14ac:dyDescent="0.2"/>
    <row r="260" s="17" customFormat="1" x14ac:dyDescent="0.2"/>
    <row r="261" s="17" customFormat="1" x14ac:dyDescent="0.2"/>
    <row r="262" s="17" customFormat="1" x14ac:dyDescent="0.2"/>
    <row r="263" s="17" customFormat="1" x14ac:dyDescent="0.2"/>
    <row r="264" s="17" customFormat="1" x14ac:dyDescent="0.2"/>
    <row r="265" s="17" customFormat="1" x14ac:dyDescent="0.2"/>
    <row r="266" s="17" customFormat="1" x14ac:dyDescent="0.2"/>
    <row r="267" s="17" customFormat="1" x14ac:dyDescent="0.2"/>
    <row r="268" s="17" customFormat="1" x14ac:dyDescent="0.2"/>
    <row r="269" s="17" customFormat="1" x14ac:dyDescent="0.2"/>
    <row r="270" s="17" customFormat="1" x14ac:dyDescent="0.2"/>
    <row r="271" s="17" customFormat="1" x14ac:dyDescent="0.2"/>
    <row r="272" s="17" customFormat="1" x14ac:dyDescent="0.2"/>
    <row r="273" s="17" customFormat="1" x14ac:dyDescent="0.2"/>
    <row r="274" s="17" customFormat="1" x14ac:dyDescent="0.2"/>
    <row r="275" s="17" customFormat="1" x14ac:dyDescent="0.2"/>
    <row r="276" s="17" customFormat="1" x14ac:dyDescent="0.2"/>
    <row r="277" s="17" customFormat="1" x14ac:dyDescent="0.2"/>
    <row r="278" s="17" customFormat="1" x14ac:dyDescent="0.2"/>
    <row r="279" s="17" customFormat="1" x14ac:dyDescent="0.2"/>
    <row r="280" s="17" customFormat="1" x14ac:dyDescent="0.2"/>
    <row r="281" s="17" customFormat="1" x14ac:dyDescent="0.2"/>
    <row r="282" s="17" customFormat="1" x14ac:dyDescent="0.2"/>
    <row r="283" s="17" customFormat="1" x14ac:dyDescent="0.2"/>
    <row r="284" s="17" customFormat="1" x14ac:dyDescent="0.2"/>
    <row r="285" s="17" customFormat="1" x14ac:dyDescent="0.2"/>
    <row r="286" s="17" customFormat="1" x14ac:dyDescent="0.2"/>
    <row r="287" s="17" customFormat="1" x14ac:dyDescent="0.2"/>
    <row r="288" s="17" customFormat="1" x14ac:dyDescent="0.2"/>
    <row r="289" s="17" customFormat="1" x14ac:dyDescent="0.2"/>
    <row r="290" s="17" customFormat="1" x14ac:dyDescent="0.2"/>
    <row r="291" s="17" customFormat="1" x14ac:dyDescent="0.2"/>
    <row r="292" s="17" customFormat="1" x14ac:dyDescent="0.2"/>
    <row r="293" s="17" customFormat="1" x14ac:dyDescent="0.2"/>
    <row r="294" s="17" customFormat="1" x14ac:dyDescent="0.2"/>
    <row r="295" s="17" customFormat="1" x14ac:dyDescent="0.2"/>
    <row r="296" s="17" customFormat="1" x14ac:dyDescent="0.2"/>
    <row r="297" s="17" customFormat="1" x14ac:dyDescent="0.2"/>
    <row r="298" s="17" customFormat="1" x14ac:dyDescent="0.2"/>
    <row r="299" s="17" customFormat="1" x14ac:dyDescent="0.2"/>
    <row r="300" s="17" customFormat="1" x14ac:dyDescent="0.2"/>
    <row r="301" s="17" customFormat="1" x14ac:dyDescent="0.2"/>
    <row r="302" s="17" customFormat="1" x14ac:dyDescent="0.2"/>
    <row r="303" s="17" customFormat="1" x14ac:dyDescent="0.2"/>
    <row r="304" s="17" customFormat="1" x14ac:dyDescent="0.2"/>
    <row r="305" s="17" customFormat="1" x14ac:dyDescent="0.2"/>
    <row r="306" s="17" customFormat="1" x14ac:dyDescent="0.2"/>
    <row r="307" s="17" customFormat="1" x14ac:dyDescent="0.2"/>
    <row r="308" s="17" customFormat="1" x14ac:dyDescent="0.2"/>
    <row r="309" s="17" customFormat="1" x14ac:dyDescent="0.2"/>
    <row r="310" s="17" customFormat="1" x14ac:dyDescent="0.2"/>
    <row r="311" s="17" customFormat="1" x14ac:dyDescent="0.2"/>
    <row r="312" s="17" customFormat="1" x14ac:dyDescent="0.2"/>
    <row r="313" s="17" customFormat="1" x14ac:dyDescent="0.2"/>
    <row r="314" s="17" customFormat="1" x14ac:dyDescent="0.2"/>
    <row r="315" s="17" customFormat="1" x14ac:dyDescent="0.2"/>
    <row r="316" s="17" customFormat="1" x14ac:dyDescent="0.2"/>
    <row r="317" s="17" customFormat="1" x14ac:dyDescent="0.2"/>
    <row r="318" s="17" customFormat="1" x14ac:dyDescent="0.2"/>
    <row r="319" s="17" customFormat="1" x14ac:dyDescent="0.2"/>
    <row r="320" s="17" customFormat="1" x14ac:dyDescent="0.2"/>
    <row r="321" s="17" customFormat="1" x14ac:dyDescent="0.2"/>
    <row r="322" s="17" customFormat="1" x14ac:dyDescent="0.2"/>
    <row r="323" s="17" customFormat="1" x14ac:dyDescent="0.2"/>
    <row r="324" s="17" customFormat="1" x14ac:dyDescent="0.2"/>
    <row r="325" s="17" customFormat="1" x14ac:dyDescent="0.2"/>
    <row r="326" s="17" customFormat="1" x14ac:dyDescent="0.2"/>
    <row r="327" s="17" customFormat="1" x14ac:dyDescent="0.2"/>
    <row r="328" s="17" customFormat="1" x14ac:dyDescent="0.2"/>
    <row r="329" s="17" customFormat="1" x14ac:dyDescent="0.2"/>
    <row r="330" s="17" customFormat="1" x14ac:dyDescent="0.2"/>
    <row r="331" s="17" customFormat="1" x14ac:dyDescent="0.2"/>
    <row r="332" s="17" customFormat="1" x14ac:dyDescent="0.2"/>
    <row r="333" s="17" customFormat="1" x14ac:dyDescent="0.2"/>
    <row r="334" s="17" customFormat="1" x14ac:dyDescent="0.2"/>
    <row r="335" s="17" customFormat="1" x14ac:dyDescent="0.2"/>
    <row r="336" s="17" customFormat="1" x14ac:dyDescent="0.2"/>
    <row r="337" s="17" customFormat="1" x14ac:dyDescent="0.2"/>
    <row r="338" s="17" customFormat="1" x14ac:dyDescent="0.2"/>
    <row r="339" s="17" customFormat="1" x14ac:dyDescent="0.2"/>
    <row r="340" s="17" customFormat="1" x14ac:dyDescent="0.2"/>
    <row r="341" s="17" customFormat="1" x14ac:dyDescent="0.2"/>
    <row r="342" s="17" customFormat="1" x14ac:dyDescent="0.2"/>
    <row r="343" s="17" customFormat="1" x14ac:dyDescent="0.2"/>
    <row r="344" s="17" customFormat="1" x14ac:dyDescent="0.2"/>
    <row r="345" s="17" customFormat="1" x14ac:dyDescent="0.2"/>
    <row r="346" s="17" customFormat="1" x14ac:dyDescent="0.2"/>
    <row r="347" s="17" customFormat="1" x14ac:dyDescent="0.2"/>
    <row r="348" s="17" customFormat="1" x14ac:dyDescent="0.2"/>
    <row r="349" s="17" customFormat="1" x14ac:dyDescent="0.2"/>
    <row r="350" s="17" customFormat="1" x14ac:dyDescent="0.2"/>
    <row r="351" s="17" customFormat="1" x14ac:dyDescent="0.2"/>
    <row r="352" s="17" customFormat="1" x14ac:dyDescent="0.2"/>
    <row r="353" s="17" customFormat="1" x14ac:dyDescent="0.2"/>
    <row r="354" s="17" customFormat="1" x14ac:dyDescent="0.2"/>
    <row r="355" s="17" customFormat="1" x14ac:dyDescent="0.2"/>
    <row r="356" s="17" customFormat="1" x14ac:dyDescent="0.2"/>
    <row r="357" s="17" customFormat="1" x14ac:dyDescent="0.2"/>
    <row r="358" s="17" customFormat="1" x14ac:dyDescent="0.2"/>
    <row r="359" s="17" customFormat="1" x14ac:dyDescent="0.2"/>
    <row r="360" s="17" customFormat="1" x14ac:dyDescent="0.2"/>
    <row r="361" s="17" customFormat="1" x14ac:dyDescent="0.2"/>
    <row r="362" s="17" customFormat="1" x14ac:dyDescent="0.2"/>
    <row r="363" s="17" customFormat="1" x14ac:dyDescent="0.2"/>
    <row r="364" s="17" customFormat="1" x14ac:dyDescent="0.2"/>
    <row r="365" s="17" customFormat="1" x14ac:dyDescent="0.2"/>
    <row r="366" s="17" customFormat="1" x14ac:dyDescent="0.2"/>
    <row r="367" s="17" customFormat="1" x14ac:dyDescent="0.2"/>
    <row r="368" s="17" customFormat="1" x14ac:dyDescent="0.2"/>
    <row r="369" s="17" customFormat="1" x14ac:dyDescent="0.2"/>
    <row r="370" s="17" customFormat="1" x14ac:dyDescent="0.2"/>
    <row r="371" s="17" customFormat="1" x14ac:dyDescent="0.2"/>
    <row r="372" s="17" customFormat="1" x14ac:dyDescent="0.2"/>
    <row r="373" s="17" customFormat="1" x14ac:dyDescent="0.2"/>
    <row r="374" s="17" customFormat="1" x14ac:dyDescent="0.2"/>
    <row r="375" s="17" customFormat="1" x14ac:dyDescent="0.2"/>
    <row r="376" s="17" customFormat="1" x14ac:dyDescent="0.2"/>
    <row r="377" s="17" customFormat="1" x14ac:dyDescent="0.2"/>
    <row r="378" s="17" customFormat="1" x14ac:dyDescent="0.2"/>
    <row r="379" s="17" customFormat="1" x14ac:dyDescent="0.2"/>
    <row r="380" s="17" customFormat="1" x14ac:dyDescent="0.2"/>
    <row r="381" s="17" customFormat="1" x14ac:dyDescent="0.2"/>
    <row r="382" s="17" customFormat="1" x14ac:dyDescent="0.2"/>
    <row r="383" s="17" customFormat="1" x14ac:dyDescent="0.2"/>
    <row r="384" s="17" customFormat="1" x14ac:dyDescent="0.2"/>
    <row r="385" s="17" customFormat="1" x14ac:dyDescent="0.2"/>
    <row r="386" s="17" customFormat="1" x14ac:dyDescent="0.2"/>
    <row r="387" s="17" customFormat="1" x14ac:dyDescent="0.2"/>
    <row r="388" s="17" customFormat="1" x14ac:dyDescent="0.2"/>
    <row r="389" s="17" customFormat="1" x14ac:dyDescent="0.2"/>
    <row r="390" s="17" customFormat="1" x14ac:dyDescent="0.2"/>
    <row r="391" s="17" customFormat="1" x14ac:dyDescent="0.2"/>
    <row r="392" s="17" customFormat="1" x14ac:dyDescent="0.2"/>
    <row r="393" s="17" customFormat="1" x14ac:dyDescent="0.2"/>
    <row r="394" s="17" customFormat="1" x14ac:dyDescent="0.2"/>
    <row r="395" s="17" customFormat="1" x14ac:dyDescent="0.2"/>
    <row r="396" s="17" customFormat="1" x14ac:dyDescent="0.2"/>
    <row r="397" s="17" customFormat="1" x14ac:dyDescent="0.2"/>
    <row r="398" s="17" customFormat="1" x14ac:dyDescent="0.2"/>
    <row r="399" s="17" customFormat="1" x14ac:dyDescent="0.2"/>
    <row r="400" s="17" customFormat="1" x14ac:dyDescent="0.2"/>
    <row r="401" s="17" customFormat="1" x14ac:dyDescent="0.2"/>
    <row r="402" s="17" customFormat="1" x14ac:dyDescent="0.2"/>
    <row r="403" s="17" customFormat="1" x14ac:dyDescent="0.2"/>
    <row r="404" s="17" customFormat="1" x14ac:dyDescent="0.2"/>
    <row r="405" s="17" customFormat="1" x14ac:dyDescent="0.2"/>
    <row r="406" s="17" customFormat="1" x14ac:dyDescent="0.2"/>
    <row r="407" s="17" customFormat="1" x14ac:dyDescent="0.2"/>
    <row r="408" s="17" customFormat="1" x14ac:dyDescent="0.2"/>
    <row r="409" s="17" customFormat="1" x14ac:dyDescent="0.2"/>
    <row r="410" s="17" customFormat="1" x14ac:dyDescent="0.2"/>
    <row r="411" s="17" customFormat="1" x14ac:dyDescent="0.2"/>
    <row r="412" s="17" customFormat="1" x14ac:dyDescent="0.2"/>
    <row r="413" s="17" customFormat="1" x14ac:dyDescent="0.2"/>
    <row r="414" s="17" customFormat="1" x14ac:dyDescent="0.2"/>
    <row r="415" s="17" customFormat="1" x14ac:dyDescent="0.2"/>
    <row r="416" s="17" customFormat="1" x14ac:dyDescent="0.2"/>
    <row r="417" s="17" customFormat="1" x14ac:dyDescent="0.2"/>
    <row r="418" s="17" customFormat="1" x14ac:dyDescent="0.2"/>
    <row r="419" s="17" customFormat="1" x14ac:dyDescent="0.2"/>
    <row r="420" s="17" customFormat="1" x14ac:dyDescent="0.2"/>
    <row r="421" s="17" customFormat="1" x14ac:dyDescent="0.2"/>
    <row r="422" s="17" customFormat="1" x14ac:dyDescent="0.2"/>
    <row r="423" s="17" customFormat="1" x14ac:dyDescent="0.2"/>
    <row r="424" s="17" customFormat="1" x14ac:dyDescent="0.2"/>
    <row r="425" s="17" customFormat="1" x14ac:dyDescent="0.2"/>
    <row r="426" s="17" customFormat="1" x14ac:dyDescent="0.2"/>
    <row r="427" s="17" customFormat="1" x14ac:dyDescent="0.2"/>
    <row r="428" s="17" customFormat="1" x14ac:dyDescent="0.2"/>
    <row r="429" s="17" customFormat="1" x14ac:dyDescent="0.2"/>
    <row r="430" s="17" customFormat="1" x14ac:dyDescent="0.2"/>
    <row r="431" s="17" customFormat="1" x14ac:dyDescent="0.2"/>
    <row r="432" s="17" customFormat="1" x14ac:dyDescent="0.2"/>
    <row r="433" s="17" customFormat="1" x14ac:dyDescent="0.2"/>
    <row r="434" s="17" customFormat="1" x14ac:dyDescent="0.2"/>
    <row r="435" s="17" customFormat="1" x14ac:dyDescent="0.2"/>
    <row r="436" s="17" customFormat="1" x14ac:dyDescent="0.2"/>
    <row r="437" s="17" customFormat="1" x14ac:dyDescent="0.2"/>
    <row r="438" s="17" customFormat="1" x14ac:dyDescent="0.2"/>
    <row r="439" s="17" customFormat="1" x14ac:dyDescent="0.2"/>
    <row r="440" s="17" customFormat="1" x14ac:dyDescent="0.2"/>
    <row r="441" s="17" customFormat="1" x14ac:dyDescent="0.2"/>
    <row r="442" s="17" customFormat="1" x14ac:dyDescent="0.2"/>
    <row r="443" s="17" customFormat="1" x14ac:dyDescent="0.2"/>
    <row r="444" s="17" customFormat="1" x14ac:dyDescent="0.2"/>
    <row r="445" s="17" customFormat="1" x14ac:dyDescent="0.2"/>
    <row r="446" s="17" customFormat="1" x14ac:dyDescent="0.2"/>
    <row r="447" s="17" customFormat="1" x14ac:dyDescent="0.2"/>
    <row r="448" s="17" customFormat="1" x14ac:dyDescent="0.2"/>
    <row r="449" s="17" customFormat="1" x14ac:dyDescent="0.2"/>
    <row r="450" s="17" customFormat="1" x14ac:dyDescent="0.2"/>
    <row r="451" s="17" customFormat="1" x14ac:dyDescent="0.2"/>
    <row r="452" s="17" customFormat="1" x14ac:dyDescent="0.2"/>
    <row r="453" s="17" customFormat="1" x14ac:dyDescent="0.2"/>
    <row r="454" s="17" customFormat="1" x14ac:dyDescent="0.2"/>
    <row r="455" s="17" customFormat="1" x14ac:dyDescent="0.2"/>
    <row r="456" s="17" customFormat="1" x14ac:dyDescent="0.2"/>
    <row r="457" s="17" customFormat="1" x14ac:dyDescent="0.2"/>
    <row r="458" s="17" customFormat="1" x14ac:dyDescent="0.2"/>
    <row r="459" s="17" customFormat="1" x14ac:dyDescent="0.2"/>
    <row r="460" s="17" customFormat="1" x14ac:dyDescent="0.2"/>
    <row r="461" s="17" customFormat="1" x14ac:dyDescent="0.2"/>
    <row r="462" s="17" customFormat="1" x14ac:dyDescent="0.2"/>
    <row r="463" s="17" customFormat="1" x14ac:dyDescent="0.2"/>
    <row r="464" s="17" customFormat="1" x14ac:dyDescent="0.2"/>
    <row r="465" s="17" customFormat="1" x14ac:dyDescent="0.2"/>
    <row r="466" s="17" customFormat="1" x14ac:dyDescent="0.2"/>
    <row r="467" s="17" customFormat="1" x14ac:dyDescent="0.2"/>
    <row r="468" s="17" customFormat="1" x14ac:dyDescent="0.2"/>
    <row r="469" s="17" customFormat="1" x14ac:dyDescent="0.2"/>
    <row r="470" s="17" customFormat="1" x14ac:dyDescent="0.2"/>
    <row r="471" s="17" customFormat="1" x14ac:dyDescent="0.2"/>
    <row r="472" s="17" customFormat="1" x14ac:dyDescent="0.2"/>
    <row r="473" s="17" customFormat="1" x14ac:dyDescent="0.2"/>
    <row r="474" s="17" customFormat="1" x14ac:dyDescent="0.2"/>
    <row r="475" s="17" customFormat="1" x14ac:dyDescent="0.2"/>
    <row r="476" s="17" customFormat="1" x14ac:dyDescent="0.2"/>
    <row r="477" s="17" customFormat="1" x14ac:dyDescent="0.2"/>
    <row r="478" s="17" customFormat="1" x14ac:dyDescent="0.2"/>
    <row r="479" s="17" customFormat="1" x14ac:dyDescent="0.2"/>
    <row r="480" s="17" customFormat="1" x14ac:dyDescent="0.2"/>
    <row r="481" s="17" customFormat="1" x14ac:dyDescent="0.2"/>
    <row r="482" s="17" customFormat="1" x14ac:dyDescent="0.2"/>
    <row r="483" s="17" customFormat="1" x14ac:dyDescent="0.2"/>
    <row r="484" s="17" customFormat="1" x14ac:dyDescent="0.2"/>
    <row r="485" s="17" customFormat="1" x14ac:dyDescent="0.2"/>
    <row r="486" s="17" customFormat="1" x14ac:dyDescent="0.2"/>
    <row r="487" s="17" customFormat="1" x14ac:dyDescent="0.2"/>
    <row r="488" s="17" customFormat="1" x14ac:dyDescent="0.2"/>
    <row r="489" s="17" customFormat="1" x14ac:dyDescent="0.2"/>
    <row r="490" s="17" customFormat="1" x14ac:dyDescent="0.2"/>
    <row r="491" s="17" customFormat="1" x14ac:dyDescent="0.2"/>
    <row r="492" s="17" customFormat="1" x14ac:dyDescent="0.2"/>
    <row r="493" s="17" customFormat="1" x14ac:dyDescent="0.2"/>
    <row r="494" s="17" customFormat="1" x14ac:dyDescent="0.2"/>
    <row r="495" s="17" customFormat="1" x14ac:dyDescent="0.2"/>
    <row r="496" s="17" customFormat="1" x14ac:dyDescent="0.2"/>
    <row r="497" s="17" customFormat="1" x14ac:dyDescent="0.2"/>
    <row r="498" s="17" customFormat="1" x14ac:dyDescent="0.2"/>
    <row r="499" s="17" customFormat="1" x14ac:dyDescent="0.2"/>
    <row r="500" s="17" customFormat="1" x14ac:dyDescent="0.2"/>
    <row r="501" s="17" customFormat="1" x14ac:dyDescent="0.2"/>
    <row r="502" s="17" customFormat="1" x14ac:dyDescent="0.2"/>
    <row r="503" s="17" customFormat="1" x14ac:dyDescent="0.2"/>
    <row r="504" s="17" customFormat="1" x14ac:dyDescent="0.2"/>
    <row r="505" s="17" customFormat="1" x14ac:dyDescent="0.2"/>
    <row r="506" s="17" customFormat="1" x14ac:dyDescent="0.2"/>
    <row r="507" s="17" customFormat="1" x14ac:dyDescent="0.2"/>
    <row r="508" s="17" customFormat="1" x14ac:dyDescent="0.2"/>
    <row r="509" s="17" customFormat="1" x14ac:dyDescent="0.2"/>
    <row r="510" s="17" customFormat="1" x14ac:dyDescent="0.2"/>
    <row r="511" s="17" customFormat="1" x14ac:dyDescent="0.2"/>
    <row r="512" s="17" customFormat="1" x14ac:dyDescent="0.2"/>
    <row r="513" s="17" customFormat="1" x14ac:dyDescent="0.2"/>
    <row r="514" s="17" customFormat="1" x14ac:dyDescent="0.2"/>
    <row r="515" s="17" customFormat="1" x14ac:dyDescent="0.2"/>
    <row r="516" s="17" customFormat="1" x14ac:dyDescent="0.2"/>
    <row r="517" s="17" customFormat="1" x14ac:dyDescent="0.2"/>
    <row r="518" s="17" customFormat="1" x14ac:dyDescent="0.2"/>
    <row r="519" s="17" customFormat="1" x14ac:dyDescent="0.2"/>
    <row r="520" s="17" customFormat="1" x14ac:dyDescent="0.2"/>
    <row r="521" s="17" customFormat="1" x14ac:dyDescent="0.2"/>
    <row r="522" s="17" customFormat="1" x14ac:dyDescent="0.2"/>
    <row r="523" s="17" customFormat="1" x14ac:dyDescent="0.2"/>
    <row r="524" s="17" customFormat="1" x14ac:dyDescent="0.2"/>
  </sheetData>
  <mergeCells count="9">
    <mergeCell ref="A2:O2"/>
    <mergeCell ref="N4:O4"/>
    <mergeCell ref="A4:A5"/>
    <mergeCell ref="L4:M4"/>
    <mergeCell ref="J4:K4"/>
    <mergeCell ref="H4:I4"/>
    <mergeCell ref="F4:G4"/>
    <mergeCell ref="D4:E4"/>
    <mergeCell ref="B4:C4"/>
  </mergeCells>
  <pageMargins left="0.7" right="0.7" top="0.75" bottom="0.75" header="0.3" footer="0.3"/>
  <pageSetup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theme="3" tint="-0.249977111117893"/>
    <pageSetUpPr fitToPage="1"/>
  </sheetPr>
  <dimension ref="A1:CM201"/>
  <sheetViews>
    <sheetView zoomScaleNormal="100" workbookViewId="0">
      <pane xSplit="1" ySplit="5" topLeftCell="B6" activePane="bottomRight" state="frozen"/>
      <selection pane="topRight" activeCell="B1" sqref="B1"/>
      <selection pane="bottomLeft" activeCell="A7" sqref="A7"/>
      <selection pane="bottomRight" activeCell="CB4" sqref="CB4:CC4"/>
    </sheetView>
  </sheetViews>
  <sheetFormatPr baseColWidth="10" defaultColWidth="7.7109375" defaultRowHeight="12" x14ac:dyDescent="0.2"/>
  <cols>
    <col min="1" max="1" width="44.42578125" style="82" customWidth="1"/>
    <col min="2" max="9" width="20.28515625" style="126" customWidth="1"/>
    <col min="10" max="11" width="20.28515625" style="127" customWidth="1"/>
    <col min="12" max="19" width="20.28515625" style="126" customWidth="1"/>
    <col min="20" max="25" width="20.28515625" style="22" customWidth="1"/>
    <col min="26" max="35" width="20.28515625" style="126" customWidth="1"/>
    <col min="36" max="37" width="20.28515625" style="22" customWidth="1"/>
    <col min="38" max="81" width="20.28515625" style="126" customWidth="1"/>
    <col min="82" max="16384" width="7.7109375" style="22"/>
  </cols>
  <sheetData>
    <row r="1" spans="1:81" ht="24" customHeight="1" x14ac:dyDescent="0.2">
      <c r="A1" s="10" t="s">
        <v>126</v>
      </c>
      <c r="B1" s="22"/>
      <c r="C1" s="22"/>
      <c r="D1" s="22"/>
      <c r="E1" s="22"/>
      <c r="F1" s="22"/>
      <c r="G1" s="22"/>
      <c r="H1" s="22"/>
      <c r="I1" s="22"/>
      <c r="J1" s="157"/>
      <c r="K1" s="157"/>
      <c r="L1" s="22"/>
      <c r="M1" s="22"/>
      <c r="N1" s="22"/>
      <c r="O1" s="22"/>
      <c r="P1" s="22"/>
      <c r="Q1" s="22"/>
      <c r="R1" s="22"/>
      <c r="S1" s="22"/>
      <c r="T1" s="157"/>
      <c r="U1" s="157"/>
      <c r="V1" s="157"/>
      <c r="W1" s="157"/>
      <c r="X1" s="157"/>
      <c r="Y1" s="157"/>
      <c r="Z1" s="22"/>
      <c r="AA1" s="22"/>
      <c r="AB1" s="22"/>
      <c r="AC1" s="22"/>
      <c r="AD1" s="22"/>
      <c r="AE1" s="22"/>
      <c r="AF1" s="22"/>
      <c r="AG1" s="22"/>
      <c r="AH1" s="22"/>
      <c r="AI1" s="22"/>
      <c r="AJ1" s="157"/>
      <c r="AK1" s="157"/>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row>
    <row r="2" spans="1:81" ht="17.45" customHeight="1" x14ac:dyDescent="0.2">
      <c r="A2" s="385" t="s">
        <v>19</v>
      </c>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c r="AT2" s="385"/>
      <c r="AU2" s="385"/>
      <c r="AV2" s="385"/>
      <c r="AW2" s="385"/>
      <c r="AX2" s="385"/>
      <c r="AY2" s="385"/>
      <c r="AZ2" s="385"/>
      <c r="BA2" s="385"/>
      <c r="BB2" s="385"/>
      <c r="BC2" s="385"/>
      <c r="BD2" s="385"/>
      <c r="BE2" s="385"/>
      <c r="BF2" s="385"/>
      <c r="BG2" s="385"/>
      <c r="BH2" s="385"/>
      <c r="BI2" s="385"/>
      <c r="BJ2" s="385"/>
      <c r="BK2" s="385"/>
      <c r="BL2" s="385"/>
      <c r="BM2" s="385"/>
      <c r="BN2" s="385"/>
      <c r="BO2" s="385"/>
      <c r="BP2" s="385"/>
      <c r="BQ2" s="385"/>
      <c r="BR2" s="385"/>
      <c r="BS2" s="385"/>
      <c r="BT2" s="385"/>
      <c r="BU2" s="385"/>
      <c r="BV2" s="385"/>
      <c r="BW2" s="385"/>
      <c r="BX2" s="385"/>
      <c r="BY2" s="385"/>
      <c r="BZ2" s="385"/>
      <c r="CA2" s="385"/>
      <c r="CB2" s="385"/>
      <c r="CC2" s="385"/>
    </row>
    <row r="3" spans="1:81" ht="23.1" customHeight="1" x14ac:dyDescent="0.2">
      <c r="A3" s="10" t="s">
        <v>35</v>
      </c>
      <c r="B3" s="128"/>
      <c r="C3" s="128"/>
      <c r="D3" s="128"/>
      <c r="E3" s="128"/>
      <c r="F3" s="128"/>
      <c r="G3" s="128"/>
      <c r="H3" s="128"/>
      <c r="I3" s="128"/>
      <c r="J3" s="128"/>
      <c r="K3" s="128"/>
      <c r="L3" s="128"/>
      <c r="M3" s="128"/>
      <c r="N3" s="128"/>
      <c r="O3" s="128"/>
      <c r="P3" s="128"/>
      <c r="Q3" s="128"/>
      <c r="R3" s="22"/>
      <c r="S3" s="22"/>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22"/>
      <c r="BC3" s="128"/>
      <c r="BD3" s="128"/>
      <c r="BE3" s="128"/>
      <c r="BF3" s="128"/>
      <c r="BG3" s="128"/>
      <c r="BH3" s="128"/>
      <c r="BI3" s="128"/>
      <c r="BJ3" s="128"/>
      <c r="BK3" s="128"/>
      <c r="BL3" s="128"/>
      <c r="BM3" s="128"/>
      <c r="BN3" s="22"/>
      <c r="BO3" s="128"/>
      <c r="BP3" s="128"/>
      <c r="BQ3" s="128"/>
      <c r="BR3" s="128"/>
      <c r="BS3" s="128"/>
      <c r="BT3" s="128"/>
      <c r="BU3" s="128"/>
      <c r="BV3" s="128"/>
      <c r="BW3" s="128"/>
      <c r="BX3" s="128"/>
      <c r="BY3" s="128"/>
      <c r="BZ3" s="128"/>
      <c r="CA3" s="128"/>
      <c r="CB3" s="128"/>
      <c r="CC3" s="22"/>
    </row>
    <row r="4" spans="1:81" s="63" customFormat="1" ht="42" customHeight="1" x14ac:dyDescent="0.2">
      <c r="A4" s="385" t="s">
        <v>36</v>
      </c>
      <c r="B4" s="380" t="s">
        <v>92</v>
      </c>
      <c r="C4" s="380"/>
      <c r="D4" s="383" t="s">
        <v>127</v>
      </c>
      <c r="E4" s="383"/>
      <c r="F4" s="383" t="s">
        <v>128</v>
      </c>
      <c r="G4" s="383"/>
      <c r="H4" s="383" t="s">
        <v>129</v>
      </c>
      <c r="I4" s="383"/>
      <c r="J4" s="383" t="s">
        <v>130</v>
      </c>
      <c r="K4" s="383"/>
      <c r="L4" s="383" t="s">
        <v>131</v>
      </c>
      <c r="M4" s="383"/>
      <c r="N4" s="383" t="s">
        <v>132</v>
      </c>
      <c r="O4" s="383"/>
      <c r="P4" s="383" t="s">
        <v>133</v>
      </c>
      <c r="Q4" s="383"/>
      <c r="R4" s="383" t="s">
        <v>134</v>
      </c>
      <c r="S4" s="383"/>
      <c r="T4" s="383" t="s">
        <v>135</v>
      </c>
      <c r="U4" s="383"/>
      <c r="V4" s="383" t="s">
        <v>136</v>
      </c>
      <c r="W4" s="383"/>
      <c r="X4" s="383" t="s">
        <v>137</v>
      </c>
      <c r="Y4" s="383"/>
      <c r="Z4" s="383" t="s">
        <v>138</v>
      </c>
      <c r="AA4" s="383"/>
      <c r="AB4" s="380" t="s">
        <v>139</v>
      </c>
      <c r="AC4" s="380"/>
      <c r="AD4" s="383" t="s">
        <v>140</v>
      </c>
      <c r="AE4" s="383"/>
      <c r="AF4" s="383" t="s">
        <v>141</v>
      </c>
      <c r="AG4" s="383"/>
      <c r="AH4" s="383" t="s">
        <v>142</v>
      </c>
      <c r="AI4" s="383"/>
      <c r="AJ4" s="383" t="s">
        <v>143</v>
      </c>
      <c r="AK4" s="383"/>
      <c r="AL4" s="383" t="s">
        <v>144</v>
      </c>
      <c r="AM4" s="383"/>
      <c r="AN4" s="383" t="s">
        <v>145</v>
      </c>
      <c r="AO4" s="383"/>
      <c r="AP4" s="383" t="s">
        <v>146</v>
      </c>
      <c r="AQ4" s="383"/>
      <c r="AR4" s="383" t="s">
        <v>147</v>
      </c>
      <c r="AS4" s="383"/>
      <c r="AT4" s="380" t="s">
        <v>148</v>
      </c>
      <c r="AU4" s="380"/>
      <c r="AV4" s="383" t="s">
        <v>149</v>
      </c>
      <c r="AW4" s="383"/>
      <c r="AX4" s="383" t="s">
        <v>150</v>
      </c>
      <c r="AY4" s="383"/>
      <c r="AZ4" s="383" t="s">
        <v>151</v>
      </c>
      <c r="BA4" s="383"/>
      <c r="BB4" s="383" t="s">
        <v>152</v>
      </c>
      <c r="BC4" s="383"/>
      <c r="BD4" s="383" t="s">
        <v>153</v>
      </c>
      <c r="BE4" s="383"/>
      <c r="BF4" s="383" t="s">
        <v>154</v>
      </c>
      <c r="BG4" s="383"/>
      <c r="BH4" s="383" t="s">
        <v>155</v>
      </c>
      <c r="BI4" s="383"/>
      <c r="BJ4" s="383" t="s">
        <v>156</v>
      </c>
      <c r="BK4" s="383"/>
      <c r="BL4" s="383" t="s">
        <v>157</v>
      </c>
      <c r="BM4" s="383"/>
      <c r="BN4" s="383" t="s">
        <v>158</v>
      </c>
      <c r="BO4" s="383"/>
      <c r="BP4" s="383" t="s">
        <v>159</v>
      </c>
      <c r="BQ4" s="383"/>
      <c r="BR4" s="383" t="s">
        <v>160</v>
      </c>
      <c r="BS4" s="383"/>
      <c r="BT4" s="383" t="s">
        <v>161</v>
      </c>
      <c r="BU4" s="383"/>
      <c r="BV4" s="383" t="s">
        <v>162</v>
      </c>
      <c r="BW4" s="383"/>
      <c r="BX4" s="383" t="s">
        <v>163</v>
      </c>
      <c r="BY4" s="383"/>
      <c r="BZ4" s="383" t="s">
        <v>164</v>
      </c>
      <c r="CA4" s="383"/>
      <c r="CB4" s="380" t="s">
        <v>165</v>
      </c>
      <c r="CC4" s="380"/>
    </row>
    <row r="5" spans="1:81" s="63" customFormat="1" ht="19.5" customHeight="1" x14ac:dyDescent="0.2">
      <c r="A5" s="386"/>
      <c r="B5" s="62">
        <v>2021</v>
      </c>
      <c r="C5" s="62">
        <v>2022</v>
      </c>
      <c r="D5" s="62">
        <v>2021</v>
      </c>
      <c r="E5" s="62">
        <v>2022</v>
      </c>
      <c r="F5" s="62">
        <v>2021</v>
      </c>
      <c r="G5" s="62">
        <v>2022</v>
      </c>
      <c r="H5" s="62">
        <v>2021</v>
      </c>
      <c r="I5" s="62">
        <v>2022</v>
      </c>
      <c r="J5" s="62">
        <v>2021</v>
      </c>
      <c r="K5" s="62">
        <v>2022</v>
      </c>
      <c r="L5" s="62">
        <v>2021</v>
      </c>
      <c r="M5" s="62">
        <v>2022</v>
      </c>
      <c r="N5" s="62">
        <v>2021</v>
      </c>
      <c r="O5" s="62">
        <v>2022</v>
      </c>
      <c r="P5" s="62">
        <v>2021</v>
      </c>
      <c r="Q5" s="62">
        <v>2022</v>
      </c>
      <c r="R5" s="62">
        <v>2021</v>
      </c>
      <c r="S5" s="62">
        <v>2022</v>
      </c>
      <c r="T5" s="62">
        <v>2021</v>
      </c>
      <c r="U5" s="62">
        <v>2022</v>
      </c>
      <c r="V5" s="62">
        <v>2021</v>
      </c>
      <c r="W5" s="62">
        <v>2022</v>
      </c>
      <c r="X5" s="62">
        <v>2021</v>
      </c>
      <c r="Y5" s="62">
        <v>2022</v>
      </c>
      <c r="Z5" s="62">
        <v>2021</v>
      </c>
      <c r="AA5" s="62">
        <v>2022</v>
      </c>
      <c r="AB5" s="62">
        <v>2021</v>
      </c>
      <c r="AC5" s="62">
        <v>2022</v>
      </c>
      <c r="AD5" s="62">
        <v>2021</v>
      </c>
      <c r="AE5" s="62">
        <v>2022</v>
      </c>
      <c r="AF5" s="62">
        <v>2021</v>
      </c>
      <c r="AG5" s="62">
        <v>2022</v>
      </c>
      <c r="AH5" s="62">
        <v>2021</v>
      </c>
      <c r="AI5" s="62">
        <v>2022</v>
      </c>
      <c r="AJ5" s="62">
        <v>2021</v>
      </c>
      <c r="AK5" s="62">
        <v>2022</v>
      </c>
      <c r="AL5" s="62">
        <v>2021</v>
      </c>
      <c r="AM5" s="62">
        <v>2022</v>
      </c>
      <c r="AN5" s="62">
        <v>2021</v>
      </c>
      <c r="AO5" s="62">
        <v>2022</v>
      </c>
      <c r="AP5" s="62">
        <v>2021</v>
      </c>
      <c r="AQ5" s="62">
        <v>2022</v>
      </c>
      <c r="AR5" s="62">
        <v>2021</v>
      </c>
      <c r="AS5" s="62">
        <v>2022</v>
      </c>
      <c r="AT5" s="62">
        <v>2021</v>
      </c>
      <c r="AU5" s="62">
        <v>2022</v>
      </c>
      <c r="AV5" s="62">
        <v>2021</v>
      </c>
      <c r="AW5" s="62">
        <v>2022</v>
      </c>
      <c r="AX5" s="62">
        <v>2021</v>
      </c>
      <c r="AY5" s="62">
        <v>2022</v>
      </c>
      <c r="AZ5" s="62">
        <v>2021</v>
      </c>
      <c r="BA5" s="62">
        <v>2022</v>
      </c>
      <c r="BB5" s="62">
        <v>2021</v>
      </c>
      <c r="BC5" s="62">
        <v>2022</v>
      </c>
      <c r="BD5" s="62">
        <v>2021</v>
      </c>
      <c r="BE5" s="62">
        <v>2022</v>
      </c>
      <c r="BF5" s="62">
        <v>2021</v>
      </c>
      <c r="BG5" s="62">
        <v>2022</v>
      </c>
      <c r="BH5" s="62">
        <v>2021</v>
      </c>
      <c r="BI5" s="62">
        <v>2022</v>
      </c>
      <c r="BJ5" s="62">
        <v>2021</v>
      </c>
      <c r="BK5" s="62">
        <v>2022</v>
      </c>
      <c r="BL5" s="62">
        <v>2021</v>
      </c>
      <c r="BM5" s="62">
        <v>2022</v>
      </c>
      <c r="BN5" s="62">
        <v>2021</v>
      </c>
      <c r="BO5" s="62">
        <v>2022</v>
      </c>
      <c r="BP5" s="62">
        <v>2021</v>
      </c>
      <c r="BQ5" s="62">
        <v>2022</v>
      </c>
      <c r="BR5" s="62">
        <v>2021</v>
      </c>
      <c r="BS5" s="62">
        <v>2022</v>
      </c>
      <c r="BT5" s="62">
        <v>2021</v>
      </c>
      <c r="BU5" s="62">
        <v>2022</v>
      </c>
      <c r="BV5" s="62">
        <v>2021</v>
      </c>
      <c r="BW5" s="62">
        <v>2022</v>
      </c>
      <c r="BX5" s="62">
        <v>2021</v>
      </c>
      <c r="BY5" s="62">
        <v>2022</v>
      </c>
      <c r="BZ5" s="62">
        <v>2021</v>
      </c>
      <c r="CA5" s="62">
        <v>2022</v>
      </c>
      <c r="CB5" s="62">
        <v>2021</v>
      </c>
      <c r="CC5" s="159">
        <v>2022</v>
      </c>
    </row>
    <row r="6" spans="1:81" s="63" customFormat="1" ht="15" customHeight="1" x14ac:dyDescent="0.2">
      <c r="A6" s="34" t="s">
        <v>118</v>
      </c>
      <c r="D6" s="129"/>
      <c r="E6" s="129"/>
      <c r="F6" s="129"/>
      <c r="G6" s="129"/>
      <c r="J6" s="129"/>
      <c r="K6" s="129"/>
      <c r="L6" s="78"/>
      <c r="M6" s="78"/>
      <c r="R6" s="129"/>
      <c r="S6" s="129"/>
      <c r="V6" s="129"/>
      <c r="W6" s="129"/>
      <c r="X6" s="22"/>
      <c r="Y6" s="22"/>
      <c r="AB6" s="129"/>
      <c r="AC6" s="129"/>
      <c r="AD6" s="129"/>
      <c r="AE6" s="129"/>
      <c r="AL6" s="129"/>
      <c r="AM6" s="129"/>
      <c r="AN6" s="129"/>
      <c r="AO6" s="129"/>
      <c r="AP6" s="129"/>
      <c r="AQ6" s="129"/>
      <c r="AR6" s="129"/>
      <c r="AS6" s="129"/>
      <c r="AT6" s="129"/>
      <c r="AU6" s="129"/>
      <c r="AV6" s="129"/>
      <c r="AW6" s="129"/>
      <c r="AY6" s="129"/>
      <c r="AZ6" s="129"/>
      <c r="BA6" s="129"/>
      <c r="BB6" s="129"/>
      <c r="BC6" s="129"/>
      <c r="BD6" s="129"/>
      <c r="BE6" s="129"/>
      <c r="BF6" s="129"/>
      <c r="BG6" s="129"/>
      <c r="BH6" s="129"/>
      <c r="BI6" s="129"/>
      <c r="BJ6" s="129"/>
      <c r="BK6" s="129"/>
      <c r="BN6" s="129"/>
      <c r="BP6" s="129"/>
      <c r="BQ6" s="129"/>
      <c r="BR6" s="129"/>
      <c r="BS6" s="129"/>
      <c r="BT6" s="129"/>
      <c r="BU6" s="129"/>
      <c r="BV6" s="129"/>
      <c r="BW6" s="129"/>
      <c r="BX6" s="129"/>
      <c r="BY6" s="129"/>
      <c r="BZ6" s="129"/>
      <c r="CA6" s="129"/>
      <c r="CB6" s="129"/>
      <c r="CC6" s="129"/>
    </row>
    <row r="7" spans="1:81" s="63" customFormat="1" ht="24.75" customHeight="1" x14ac:dyDescent="0.2">
      <c r="A7" s="35" t="s">
        <v>40</v>
      </c>
      <c r="D7" s="129"/>
      <c r="E7" s="129"/>
      <c r="F7" s="129"/>
      <c r="G7" s="129"/>
      <c r="J7" s="129"/>
      <c r="K7" s="129"/>
      <c r="L7" s="78"/>
      <c r="M7" s="78"/>
      <c r="R7" s="129"/>
      <c r="S7" s="129"/>
      <c r="V7" s="129"/>
      <c r="W7" s="129"/>
      <c r="X7" s="22"/>
      <c r="Y7" s="22"/>
      <c r="AB7" s="129"/>
      <c r="AC7" s="129"/>
      <c r="AD7" s="129"/>
      <c r="AE7" s="129"/>
      <c r="AJ7" s="78"/>
      <c r="AK7" s="78"/>
      <c r="AL7" s="129"/>
      <c r="AM7" s="129"/>
      <c r="AN7" s="129"/>
      <c r="AO7" s="129"/>
      <c r="AP7" s="129"/>
      <c r="AQ7" s="129"/>
      <c r="AR7" s="129"/>
      <c r="AS7" s="129"/>
      <c r="AT7" s="129"/>
      <c r="AU7" s="129"/>
      <c r="AV7" s="129"/>
      <c r="AW7" s="129"/>
      <c r="AY7" s="129"/>
      <c r="AZ7" s="129"/>
      <c r="BA7" s="129"/>
      <c r="BB7" s="129"/>
      <c r="BC7" s="129"/>
      <c r="BD7" s="129"/>
      <c r="BE7" s="129"/>
      <c r="BF7" s="129"/>
      <c r="BG7" s="129"/>
      <c r="BH7" s="129"/>
      <c r="BI7" s="129"/>
      <c r="BJ7" s="129"/>
      <c r="BK7" s="129"/>
      <c r="BN7" s="129"/>
      <c r="BP7" s="129"/>
      <c r="BQ7" s="129"/>
      <c r="BR7" s="129"/>
      <c r="BS7" s="129"/>
      <c r="BT7" s="129"/>
      <c r="BU7" s="129"/>
      <c r="BV7" s="129"/>
      <c r="BW7" s="129"/>
      <c r="BX7" s="129"/>
      <c r="BY7" s="129"/>
      <c r="BZ7" s="129"/>
      <c r="CA7" s="129"/>
      <c r="CB7" s="129"/>
      <c r="CC7" s="129"/>
    </row>
    <row r="8" spans="1:81" ht="24.75" customHeight="1" x14ac:dyDescent="0.2">
      <c r="A8" s="36" t="s">
        <v>41</v>
      </c>
      <c r="B8" s="43">
        <f>+D8+F8+H8+J8+L8+N8+P8+R8+T8+V8+X8+Z8+AB8+AD8+AF8+AH8+AJ8+AL8+AN8+AP8+AR8+AT8+AV8+AX8+AZ8+BB8+BD8+BF8+BH8+BJ8+BL8+BN8+BP8+BR8+BT8+BV8+BX8+BZ8+CB8</f>
        <v>280202606648.25</v>
      </c>
      <c r="C8" s="43">
        <f>+E8+G8+I8+K8+M8+O8+Q8+S8+U8+W8+Y8+AA8+AC8+AE8+AG8+AI8+AK8+AM8+AO8+AQ8+AS8+AU8+AW8+AY8+BA8+BC8+BE8+BG8+BI8+BK8+BM8+BO8+BQ8+BS8+BU8+BW8+BY8+CA8+CC8</f>
        <v>368442599912.88</v>
      </c>
      <c r="D8" s="22">
        <v>185124</v>
      </c>
      <c r="E8" s="22">
        <v>6790</v>
      </c>
      <c r="F8" s="22">
        <v>544548</v>
      </c>
      <c r="G8" s="22">
        <v>235212</v>
      </c>
      <c r="H8" s="43">
        <v>226454697</v>
      </c>
      <c r="I8" s="43">
        <v>198546388</v>
      </c>
      <c r="J8" s="45">
        <v>1446037458</v>
      </c>
      <c r="K8" s="45">
        <v>1788163318</v>
      </c>
      <c r="L8" s="22">
        <v>247000</v>
      </c>
      <c r="M8" s="22">
        <v>247000</v>
      </c>
      <c r="N8" s="45">
        <v>14202000</v>
      </c>
      <c r="O8" s="45">
        <v>45353000</v>
      </c>
      <c r="P8" s="22"/>
      <c r="Q8" s="22"/>
      <c r="R8" s="45">
        <v>696249000</v>
      </c>
      <c r="S8" s="45">
        <v>715151905</v>
      </c>
      <c r="T8" s="50">
        <v>642934048</v>
      </c>
      <c r="U8" s="50">
        <v>751494180</v>
      </c>
      <c r="V8" s="45"/>
      <c r="W8" s="45"/>
      <c r="X8" s="45">
        <v>785862000</v>
      </c>
      <c r="Y8" s="45">
        <v>716483073</v>
      </c>
      <c r="Z8" s="45">
        <v>1286456784</v>
      </c>
      <c r="AA8" s="45">
        <v>1997272397</v>
      </c>
      <c r="AB8" s="45">
        <v>340738000</v>
      </c>
      <c r="AC8" s="45">
        <v>172520000</v>
      </c>
      <c r="AD8" s="45">
        <v>1708160623.3499999</v>
      </c>
      <c r="AE8" s="45">
        <v>1589798131.1700001</v>
      </c>
      <c r="AF8" s="45">
        <v>1932226766</v>
      </c>
      <c r="AG8" s="45">
        <v>2797765450</v>
      </c>
      <c r="AH8" s="45">
        <v>2493091000</v>
      </c>
      <c r="AI8" s="45">
        <v>1709934712</v>
      </c>
      <c r="AJ8" s="52">
        <v>2282004829</v>
      </c>
      <c r="AK8" s="52">
        <v>4639653929</v>
      </c>
      <c r="AL8" s="45">
        <v>22380612</v>
      </c>
      <c r="AM8" s="45">
        <v>26332312</v>
      </c>
      <c r="AN8" s="45">
        <v>2241475614</v>
      </c>
      <c r="AO8" s="45">
        <v>5342888279</v>
      </c>
      <c r="AP8" s="45">
        <v>723834396</v>
      </c>
      <c r="AQ8" s="45">
        <v>1151472344</v>
      </c>
      <c r="AR8" s="22">
        <v>3508650</v>
      </c>
      <c r="AS8" s="22">
        <v>1670544</v>
      </c>
      <c r="AT8" s="45">
        <v>72648572230</v>
      </c>
      <c r="AU8" s="45">
        <v>95515727649</v>
      </c>
      <c r="AV8" s="22"/>
      <c r="AW8" s="22"/>
      <c r="AX8" s="22"/>
      <c r="AY8" s="22"/>
      <c r="AZ8" s="22">
        <v>17039000</v>
      </c>
      <c r="BA8" s="22">
        <v>43691000</v>
      </c>
      <c r="BB8" s="45">
        <v>2080427203.9000001</v>
      </c>
      <c r="BC8" s="45">
        <v>1713560513.71</v>
      </c>
      <c r="BD8" s="131"/>
      <c r="BE8" s="130"/>
      <c r="BF8" s="45">
        <v>6517614197</v>
      </c>
      <c r="BG8" s="45">
        <v>8232949724</v>
      </c>
      <c r="BH8" s="45">
        <v>626709786</v>
      </c>
      <c r="BI8" s="45">
        <v>899011378</v>
      </c>
      <c r="BJ8" s="45">
        <v>713568581</v>
      </c>
      <c r="BK8" s="45">
        <v>1599815818</v>
      </c>
      <c r="BL8" s="45">
        <v>2670664841</v>
      </c>
      <c r="BM8" s="45">
        <v>3415866256</v>
      </c>
      <c r="BN8" s="58">
        <v>11637062989</v>
      </c>
      <c r="BO8" s="45">
        <v>15563632872</v>
      </c>
      <c r="BP8" s="22">
        <v>38219</v>
      </c>
      <c r="BQ8" s="22">
        <v>39298</v>
      </c>
      <c r="BR8" s="22">
        <v>15092676</v>
      </c>
      <c r="BS8" s="22">
        <v>8017011</v>
      </c>
      <c r="BT8" s="58">
        <v>3406072756</v>
      </c>
      <c r="BU8" s="58">
        <v>3875979779</v>
      </c>
      <c r="BV8" s="22">
        <v>1176469805</v>
      </c>
      <c r="BW8" s="22">
        <v>1368246586</v>
      </c>
      <c r="BX8" s="45">
        <v>980210000</v>
      </c>
      <c r="BY8" s="45">
        <v>1533392005</v>
      </c>
      <c r="BZ8" s="22">
        <v>286532000</v>
      </c>
      <c r="CA8" s="22">
        <v>325723122</v>
      </c>
      <c r="CB8" s="45">
        <v>160579939215</v>
      </c>
      <c r="CC8" s="45">
        <v>210701957937</v>
      </c>
    </row>
    <row r="9" spans="1:81" ht="24.75" customHeight="1" x14ac:dyDescent="0.2">
      <c r="A9" s="36" t="s">
        <v>42</v>
      </c>
      <c r="B9" s="43">
        <f>+D9+F9+H9+J9+L9+N9+P9+R9+T9+V9+X9+Z9+AB9+AD9+AF9+AH9+AJ9+AL9+AN9+AP9+AR9+AT9+AV9+AX9+AZ9+BB9+BD9+BF9+BH9+BJ9+BL9+BN9+BP9+BR9+BT9+BV9+BX9+BZ9+CB9</f>
        <v>372402579204.65002</v>
      </c>
      <c r="C9" s="43">
        <f>+E9+G9+I9+K9+M9+O9+Q9+S9+U9+W9+Y9+AA9+AC9+AE9+AG9+AI9+AK9+AM9+AO9+AQ9+AS9+AU9+AW9+AY9+BA9+BC9+BE9+BG9+BI9+BK9+BM9+BO9+BQ9+BS9+BU9+BW9+BY9+CA9+CC9</f>
        <v>336184087359.95001</v>
      </c>
      <c r="D9" s="22">
        <v>1500395</v>
      </c>
      <c r="E9" s="22">
        <v>1961008</v>
      </c>
      <c r="F9" s="22">
        <v>1642728</v>
      </c>
      <c r="G9" s="126">
        <v>1982969</v>
      </c>
      <c r="H9" s="43">
        <v>4025098321</v>
      </c>
      <c r="I9" s="43">
        <v>4334581379</v>
      </c>
      <c r="J9" s="45">
        <v>2263743232</v>
      </c>
      <c r="K9" s="45">
        <v>2262311561</v>
      </c>
      <c r="L9" s="22">
        <v>92194392</v>
      </c>
      <c r="M9" s="22">
        <v>92194392</v>
      </c>
      <c r="N9" s="45">
        <v>1668280000</v>
      </c>
      <c r="O9" s="45">
        <v>1619780000</v>
      </c>
      <c r="P9" s="22"/>
      <c r="Q9" s="22"/>
      <c r="R9" s="45">
        <v>471949581</v>
      </c>
      <c r="S9" s="45">
        <v>471949581</v>
      </c>
      <c r="T9" s="50">
        <v>2533819952</v>
      </c>
      <c r="U9" s="50">
        <v>2531090905</v>
      </c>
      <c r="V9" s="45"/>
      <c r="W9" s="45"/>
      <c r="X9" s="45">
        <v>1051989000</v>
      </c>
      <c r="Y9" s="45">
        <v>1051989000</v>
      </c>
      <c r="Z9" s="45">
        <v>2293977830</v>
      </c>
      <c r="AA9" s="45">
        <v>2104503901</v>
      </c>
      <c r="AB9" s="45">
        <v>772889446</v>
      </c>
      <c r="AC9" s="45">
        <v>874759000</v>
      </c>
      <c r="AD9" s="45">
        <v>4561788130.6499996</v>
      </c>
      <c r="AE9" s="45">
        <f>4224429473.05+295054770.9</f>
        <v>4519484243.9499998</v>
      </c>
      <c r="AF9" s="45">
        <v>4904657766</v>
      </c>
      <c r="AG9" s="45">
        <v>5893981674</v>
      </c>
      <c r="AH9" s="45">
        <v>63170000</v>
      </c>
      <c r="AI9" s="45">
        <v>60451026</v>
      </c>
      <c r="AJ9" s="52">
        <v>172625463</v>
      </c>
      <c r="AK9" s="52">
        <v>9255743650</v>
      </c>
      <c r="AL9" s="45">
        <v>81834477</v>
      </c>
      <c r="AM9" s="45">
        <v>90495780</v>
      </c>
      <c r="AN9" s="45">
        <v>4172505710</v>
      </c>
      <c r="AO9" s="45">
        <v>3574360020</v>
      </c>
      <c r="AP9" s="45">
        <v>948679545</v>
      </c>
      <c r="AQ9" s="45">
        <v>970631016</v>
      </c>
      <c r="AR9" s="22">
        <v>7366729</v>
      </c>
      <c r="AS9" s="22">
        <v>8651482</v>
      </c>
      <c r="AT9" s="45">
        <v>64275997520</v>
      </c>
      <c r="AU9" s="45">
        <v>49521333073</v>
      </c>
      <c r="AV9" s="22"/>
      <c r="AW9" s="22"/>
      <c r="AX9" s="22"/>
      <c r="AY9" s="22"/>
      <c r="AZ9" s="22">
        <v>148339000</v>
      </c>
      <c r="BA9" s="22">
        <v>128916000</v>
      </c>
      <c r="BB9" s="45">
        <v>905364475</v>
      </c>
      <c r="BC9" s="45">
        <v>856818669</v>
      </c>
      <c r="BD9" s="131"/>
      <c r="BE9" s="130"/>
      <c r="BF9" s="45">
        <v>15219720432</v>
      </c>
      <c r="BG9" s="45">
        <v>15376648645</v>
      </c>
      <c r="BH9" s="45">
        <v>449510458</v>
      </c>
      <c r="BI9" s="45">
        <v>440772197</v>
      </c>
      <c r="BJ9" s="45">
        <v>2768794211</v>
      </c>
      <c r="BK9" s="45">
        <v>2841631612</v>
      </c>
      <c r="BL9" s="45">
        <v>3886028008</v>
      </c>
      <c r="BM9" s="45">
        <v>3268009669</v>
      </c>
      <c r="BN9" s="45">
        <v>3783719394</v>
      </c>
      <c r="BO9" s="45">
        <v>3457150217</v>
      </c>
      <c r="BP9" s="22">
        <v>719330</v>
      </c>
      <c r="BQ9" s="22">
        <v>860658</v>
      </c>
      <c r="BR9" s="22">
        <v>18467651</v>
      </c>
      <c r="BS9" s="22">
        <v>25011669</v>
      </c>
      <c r="BT9" s="58">
        <v>19949590146</v>
      </c>
      <c r="BU9" s="58">
        <v>19587508065</v>
      </c>
      <c r="BV9" s="22">
        <v>1259859212</v>
      </c>
      <c r="BW9" s="22">
        <v>1259859212</v>
      </c>
      <c r="BX9" s="45">
        <v>11893470000</v>
      </c>
      <c r="BY9" s="45">
        <v>7136215259</v>
      </c>
      <c r="BZ9" s="22">
        <v>88558000</v>
      </c>
      <c r="CA9" s="22">
        <v>88558144</v>
      </c>
      <c r="CB9" s="45">
        <v>217664728670</v>
      </c>
      <c r="CC9" s="45">
        <v>192473891683</v>
      </c>
    </row>
    <row r="10" spans="1:81" ht="24.75" customHeight="1" x14ac:dyDescent="0.2">
      <c r="A10" s="37" t="s">
        <v>43</v>
      </c>
      <c r="B10" s="53">
        <f t="shared" ref="B10:G10" si="0">+B8+B9</f>
        <v>652605185852.90002</v>
      </c>
      <c r="C10" s="53">
        <f t="shared" si="0"/>
        <v>704626687272.83008</v>
      </c>
      <c r="D10" s="132">
        <f t="shared" si="0"/>
        <v>1685519</v>
      </c>
      <c r="E10" s="132">
        <f t="shared" si="0"/>
        <v>1967798</v>
      </c>
      <c r="F10" s="132">
        <f t="shared" si="0"/>
        <v>2187276</v>
      </c>
      <c r="G10" s="132">
        <f t="shared" si="0"/>
        <v>2218181</v>
      </c>
      <c r="H10" s="44">
        <f t="shared" ref="H10:M10" si="1">+H8+H9</f>
        <v>4251553018</v>
      </c>
      <c r="I10" s="44">
        <f t="shared" si="1"/>
        <v>4533127767</v>
      </c>
      <c r="J10" s="44">
        <f t="shared" si="1"/>
        <v>3709780690</v>
      </c>
      <c r="K10" s="44">
        <f t="shared" si="1"/>
        <v>4050474879</v>
      </c>
      <c r="L10" s="133">
        <f t="shared" si="1"/>
        <v>92441392</v>
      </c>
      <c r="M10" s="133">
        <f t="shared" si="1"/>
        <v>92441392</v>
      </c>
      <c r="N10" s="53">
        <f t="shared" ref="N10:W10" si="2">+N8+N9</f>
        <v>1682482000</v>
      </c>
      <c r="O10" s="53">
        <f t="shared" si="2"/>
        <v>1665133000</v>
      </c>
      <c r="P10" s="132">
        <f t="shared" si="2"/>
        <v>0</v>
      </c>
      <c r="Q10" s="132">
        <f t="shared" si="2"/>
        <v>0</v>
      </c>
      <c r="R10" s="53">
        <f t="shared" si="2"/>
        <v>1168198581</v>
      </c>
      <c r="S10" s="53">
        <f t="shared" si="2"/>
        <v>1187101486</v>
      </c>
      <c r="T10" s="55">
        <f t="shared" si="2"/>
        <v>3176754000</v>
      </c>
      <c r="U10" s="55">
        <f t="shared" si="2"/>
        <v>3282585085</v>
      </c>
      <c r="V10" s="53">
        <f t="shared" si="2"/>
        <v>0</v>
      </c>
      <c r="W10" s="53">
        <f t="shared" si="2"/>
        <v>0</v>
      </c>
      <c r="X10" s="53">
        <f t="shared" ref="X10:AE10" si="3">+X8+X9</f>
        <v>1837851000</v>
      </c>
      <c r="Y10" s="53">
        <f t="shared" si="3"/>
        <v>1768472073</v>
      </c>
      <c r="Z10" s="53">
        <f t="shared" si="3"/>
        <v>3580434614</v>
      </c>
      <c r="AA10" s="53">
        <f t="shared" si="3"/>
        <v>4101776298</v>
      </c>
      <c r="AB10" s="53">
        <f t="shared" si="3"/>
        <v>1113627446</v>
      </c>
      <c r="AC10" s="53">
        <f t="shared" si="3"/>
        <v>1047279000</v>
      </c>
      <c r="AD10" s="53">
        <f t="shared" si="3"/>
        <v>6269948754</v>
      </c>
      <c r="AE10" s="53">
        <f t="shared" si="3"/>
        <v>6109282375.1199999</v>
      </c>
      <c r="AF10" s="53">
        <f>+AF8+AF9</f>
        <v>6836884532</v>
      </c>
      <c r="AG10" s="53">
        <f>+AG8+AG9</f>
        <v>8691747124</v>
      </c>
      <c r="AH10" s="53">
        <f>+AH8+AH9</f>
        <v>2556261000</v>
      </c>
      <c r="AI10" s="53">
        <f>+AI8+AI9</f>
        <v>1770385738</v>
      </c>
      <c r="AJ10" s="59">
        <f t="shared" ref="AJ10:AQ10" si="4">+AJ8+AJ9</f>
        <v>2454630292</v>
      </c>
      <c r="AK10" s="59">
        <f t="shared" si="4"/>
        <v>13895397579</v>
      </c>
      <c r="AL10" s="53">
        <f t="shared" si="4"/>
        <v>104215089</v>
      </c>
      <c r="AM10" s="53">
        <f t="shared" si="4"/>
        <v>116828092</v>
      </c>
      <c r="AN10" s="53">
        <f t="shared" si="4"/>
        <v>6413981324</v>
      </c>
      <c r="AO10" s="53">
        <f t="shared" si="4"/>
        <v>8917248299</v>
      </c>
      <c r="AP10" s="53">
        <f t="shared" si="4"/>
        <v>1672513941</v>
      </c>
      <c r="AQ10" s="53">
        <f t="shared" si="4"/>
        <v>2122103360</v>
      </c>
      <c r="AR10" s="132">
        <f t="shared" ref="AR10:AW10" si="5">+AR8+AR9</f>
        <v>10875379</v>
      </c>
      <c r="AS10" s="132">
        <f t="shared" si="5"/>
        <v>10322026</v>
      </c>
      <c r="AT10" s="53">
        <f t="shared" si="5"/>
        <v>136924569750</v>
      </c>
      <c r="AU10" s="53">
        <f t="shared" si="5"/>
        <v>145037060722</v>
      </c>
      <c r="AV10" s="132">
        <f t="shared" si="5"/>
        <v>0</v>
      </c>
      <c r="AW10" s="132">
        <f t="shared" si="5"/>
        <v>0</v>
      </c>
      <c r="AX10" s="132">
        <f t="shared" ref="AX10:BC10" si="6">+AX8+AX9</f>
        <v>0</v>
      </c>
      <c r="AY10" s="132">
        <f t="shared" si="6"/>
        <v>0</v>
      </c>
      <c r="AZ10" s="132">
        <f t="shared" si="6"/>
        <v>165378000</v>
      </c>
      <c r="BA10" s="132">
        <f t="shared" si="6"/>
        <v>172607000</v>
      </c>
      <c r="BB10" s="53">
        <f t="shared" si="6"/>
        <v>2985791678.9000001</v>
      </c>
      <c r="BC10" s="53">
        <f t="shared" si="6"/>
        <v>2570379182.71</v>
      </c>
      <c r="BD10" s="132">
        <f>+BD8+BD9</f>
        <v>0</v>
      </c>
      <c r="BE10" s="132">
        <f>+BE8+BE9</f>
        <v>0</v>
      </c>
      <c r="BF10" s="53">
        <f t="shared" ref="BF10:BM10" si="7">+BF8+BF9</f>
        <v>21737334629</v>
      </c>
      <c r="BG10" s="53">
        <f t="shared" si="7"/>
        <v>23609598369</v>
      </c>
      <c r="BH10" s="53">
        <f t="shared" si="7"/>
        <v>1076220244</v>
      </c>
      <c r="BI10" s="53">
        <f t="shared" si="7"/>
        <v>1339783575</v>
      </c>
      <c r="BJ10" s="53">
        <f t="shared" si="7"/>
        <v>3482362792</v>
      </c>
      <c r="BK10" s="53">
        <f t="shared" si="7"/>
        <v>4441447430</v>
      </c>
      <c r="BL10" s="53">
        <f t="shared" si="7"/>
        <v>6556692849</v>
      </c>
      <c r="BM10" s="53">
        <f t="shared" si="7"/>
        <v>6683875925</v>
      </c>
      <c r="BN10" s="53">
        <f t="shared" ref="BN10:CC10" si="8">+BN8+BN9</f>
        <v>15420782383</v>
      </c>
      <c r="BO10" s="53">
        <f t="shared" si="8"/>
        <v>19020783089</v>
      </c>
      <c r="BP10" s="132">
        <f t="shared" si="8"/>
        <v>757549</v>
      </c>
      <c r="BQ10" s="132">
        <f t="shared" si="8"/>
        <v>899956</v>
      </c>
      <c r="BR10" s="132">
        <f t="shared" si="8"/>
        <v>33560327</v>
      </c>
      <c r="BS10" s="132">
        <f t="shared" si="8"/>
        <v>33028680</v>
      </c>
      <c r="BT10" s="53">
        <f t="shared" si="8"/>
        <v>23355662902</v>
      </c>
      <c r="BU10" s="53">
        <f t="shared" si="8"/>
        <v>23463487844</v>
      </c>
      <c r="BV10" s="132">
        <f>+BV8+BV9</f>
        <v>2436329017</v>
      </c>
      <c r="BW10" s="132">
        <f>+BW8+BW9</f>
        <v>2628105798</v>
      </c>
      <c r="BX10" s="53">
        <f>+BX8+BX9</f>
        <v>12873680000</v>
      </c>
      <c r="BY10" s="53">
        <f t="shared" si="8"/>
        <v>8669607264</v>
      </c>
      <c r="BZ10" s="132">
        <f>+BZ8+BZ9</f>
        <v>375090000</v>
      </c>
      <c r="CA10" s="132">
        <f t="shared" si="8"/>
        <v>414281266</v>
      </c>
      <c r="CB10" s="53">
        <f t="shared" si="8"/>
        <v>378244667885</v>
      </c>
      <c r="CC10" s="53">
        <f t="shared" si="8"/>
        <v>403175849620</v>
      </c>
    </row>
    <row r="11" spans="1:81" s="63" customFormat="1" ht="24.75" customHeight="1" x14ac:dyDescent="0.2">
      <c r="A11" s="35" t="s">
        <v>44</v>
      </c>
      <c r="B11" s="43"/>
      <c r="C11" s="43"/>
      <c r="H11" s="43"/>
      <c r="I11" s="43"/>
      <c r="J11" s="47"/>
      <c r="K11" s="47"/>
      <c r="L11" s="25"/>
      <c r="M11" s="25"/>
      <c r="N11" s="47"/>
      <c r="O11" s="47"/>
      <c r="R11" s="47"/>
      <c r="S11" s="47"/>
      <c r="T11" s="56"/>
      <c r="U11" s="56"/>
      <c r="V11" s="47"/>
      <c r="W11" s="47"/>
      <c r="X11" s="45"/>
      <c r="Y11" s="45"/>
      <c r="Z11" s="47"/>
      <c r="AA11" s="47"/>
      <c r="AB11" s="47"/>
      <c r="AC11" s="47"/>
      <c r="AD11" s="47"/>
      <c r="AE11" s="47"/>
      <c r="AF11" s="47"/>
      <c r="AG11" s="47"/>
      <c r="AH11" s="45"/>
      <c r="AI11" s="45"/>
      <c r="AJ11" s="51"/>
      <c r="AK11" s="51"/>
      <c r="AL11" s="47"/>
      <c r="AM11" s="47"/>
      <c r="AN11" s="47"/>
      <c r="AO11" s="47"/>
      <c r="AP11" s="47"/>
      <c r="AQ11" s="47"/>
      <c r="AT11" s="47"/>
      <c r="AU11" s="47"/>
      <c r="BB11" s="47"/>
      <c r="BC11" s="47"/>
      <c r="BD11" s="134"/>
      <c r="BE11" s="134"/>
      <c r="BF11" s="47"/>
      <c r="BG11" s="47"/>
      <c r="BH11" s="47"/>
      <c r="BI11" s="47"/>
      <c r="BJ11" s="47"/>
      <c r="BK11" s="47"/>
      <c r="BL11" s="47"/>
      <c r="BM11" s="47"/>
      <c r="BN11" s="47"/>
      <c r="BO11" s="47"/>
      <c r="BT11" s="54"/>
      <c r="BU11" s="54"/>
      <c r="BX11" s="47"/>
      <c r="BY11" s="47"/>
      <c r="CB11" s="47"/>
      <c r="CC11" s="47"/>
    </row>
    <row r="12" spans="1:81" ht="24.75" customHeight="1" x14ac:dyDescent="0.2">
      <c r="A12" s="36" t="s">
        <v>45</v>
      </c>
      <c r="B12" s="43">
        <f>+D12+F12+H12+J12+L12+N12+P12+R12+T12+V12+X12+Z12+AB12+AD12+AF12+AH12+AJ12+AL12+AN12+AP12+AR12+AT12+AV12+AX12+AZ12+BB12+BD12+BF12+BH12+BJ12+BL12+BN12+BP12+BR12+BT12+BV12+BX12+BZ12+CB12</f>
        <v>201465693767.57001</v>
      </c>
      <c r="C12" s="43">
        <f>+E12+G12+I12+K12+M12+O12+Q12+S12+U12+W12+Y12+AA12+AC12+AE12+AG12+AI12+AK12+AM12+AO12+AQ12+AS12+AU12+AW12+AY12+BA12+BC12+BE12+BG12+BI12+BK12+BM12+BO12+BQ12+BS12+BU12+BW12+BY12+CA12+CC12</f>
        <v>255900794799.95001</v>
      </c>
      <c r="D12" s="22">
        <v>108911</v>
      </c>
      <c r="E12" s="22">
        <v>646859</v>
      </c>
      <c r="F12" s="22">
        <v>178683</v>
      </c>
      <c r="G12" s="22">
        <v>154554</v>
      </c>
      <c r="H12" s="43">
        <v>578557265</v>
      </c>
      <c r="I12" s="43">
        <v>473961794</v>
      </c>
      <c r="J12" s="45">
        <v>451721122</v>
      </c>
      <c r="K12" s="45">
        <v>775857950</v>
      </c>
      <c r="L12" s="25">
        <v>11874316</v>
      </c>
      <c r="M12" s="25">
        <v>11874316</v>
      </c>
      <c r="N12" s="45">
        <v>26930000</v>
      </c>
      <c r="O12" s="45">
        <v>28433000</v>
      </c>
      <c r="P12" s="22"/>
      <c r="Q12" s="22"/>
      <c r="R12" s="45">
        <v>108106900</v>
      </c>
      <c r="S12" s="45">
        <v>90785302</v>
      </c>
      <c r="T12" s="50">
        <v>142259548</v>
      </c>
      <c r="U12" s="50">
        <v>240745667</v>
      </c>
      <c r="V12" s="47"/>
      <c r="W12" s="47"/>
      <c r="X12" s="45">
        <v>43946000</v>
      </c>
      <c r="Y12" s="45">
        <v>62849150</v>
      </c>
      <c r="Z12" s="45">
        <v>543558884</v>
      </c>
      <c r="AA12" s="45">
        <v>316454470</v>
      </c>
      <c r="AB12" s="45">
        <v>522319333</v>
      </c>
      <c r="AC12" s="45">
        <v>302411000</v>
      </c>
      <c r="AD12" s="45">
        <v>1505301102.1300001</v>
      </c>
      <c r="AE12" s="45">
        <v>1508098769.01</v>
      </c>
      <c r="AF12" s="45">
        <v>1464482035</v>
      </c>
      <c r="AG12" s="45">
        <v>2225077798</v>
      </c>
      <c r="AH12" s="45">
        <v>1191481284</v>
      </c>
      <c r="AI12" s="45">
        <v>350437686</v>
      </c>
      <c r="AJ12" s="52">
        <v>1293363637</v>
      </c>
      <c r="AK12" s="52">
        <v>4029214269</v>
      </c>
      <c r="AL12" s="45">
        <v>9767932</v>
      </c>
      <c r="AM12" s="45">
        <v>14606685</v>
      </c>
      <c r="AN12" s="45">
        <v>814749226</v>
      </c>
      <c r="AO12" s="45">
        <v>1517004271</v>
      </c>
      <c r="AP12" s="45">
        <v>634352848</v>
      </c>
      <c r="AQ12" s="45">
        <v>723243535</v>
      </c>
      <c r="AR12" s="22">
        <v>1466813</v>
      </c>
      <c r="AS12" s="22">
        <v>1400667</v>
      </c>
      <c r="AT12" s="45">
        <v>41837402780</v>
      </c>
      <c r="AU12" s="45">
        <v>48960156201</v>
      </c>
      <c r="AV12" s="22"/>
      <c r="AW12" s="22"/>
      <c r="AX12" s="22"/>
      <c r="AY12" s="22"/>
      <c r="AZ12" s="22">
        <v>16505000</v>
      </c>
      <c r="BA12" s="22">
        <v>18672000</v>
      </c>
      <c r="BB12" s="45">
        <v>1055196090.4400001</v>
      </c>
      <c r="BC12" s="45">
        <v>529308159.94</v>
      </c>
      <c r="BD12" s="130"/>
      <c r="BE12" s="131"/>
      <c r="BF12" s="45">
        <v>3092093463</v>
      </c>
      <c r="BG12" s="45">
        <v>4998902996</v>
      </c>
      <c r="BH12" s="45">
        <v>143450582</v>
      </c>
      <c r="BI12" s="45">
        <v>282271963</v>
      </c>
      <c r="BJ12" s="45">
        <v>409597487</v>
      </c>
      <c r="BK12" s="45">
        <v>1236713679</v>
      </c>
      <c r="BL12" s="45">
        <v>1501473327</v>
      </c>
      <c r="BM12" s="45">
        <v>1980622997</v>
      </c>
      <c r="BN12" s="45">
        <v>1639800809</v>
      </c>
      <c r="BO12" s="45">
        <v>2079256657</v>
      </c>
      <c r="BP12" s="22">
        <v>12856</v>
      </c>
      <c r="BQ12" s="22">
        <v>130816</v>
      </c>
      <c r="BR12" s="22">
        <v>6648454</v>
      </c>
      <c r="BS12" s="22">
        <v>11588964</v>
      </c>
      <c r="BT12" s="58">
        <v>3266677961</v>
      </c>
      <c r="BU12" s="58">
        <v>3310827788</v>
      </c>
      <c r="BV12" s="22">
        <v>595940203</v>
      </c>
      <c r="BW12" s="22">
        <v>783254030</v>
      </c>
      <c r="BX12" s="45">
        <v>924779000</v>
      </c>
      <c r="BY12" s="45">
        <v>585782731</v>
      </c>
      <c r="BZ12" s="22">
        <v>6100000</v>
      </c>
      <c r="CA12" s="22">
        <v>16980640</v>
      </c>
      <c r="CB12" s="45">
        <v>137625489916</v>
      </c>
      <c r="CC12" s="45">
        <v>178433067436</v>
      </c>
    </row>
    <row r="13" spans="1:81" ht="24.75" customHeight="1" x14ac:dyDescent="0.2">
      <c r="A13" s="38" t="s">
        <v>46</v>
      </c>
      <c r="B13" s="43">
        <f>+D13+F13+H13+J13+L13+N13+P13+R13+T13+V13+X13+Z13+AB13+AD13+AF13+AH13+AJ13+AL13+AN13+AP13+AR13+AT13+AV13+AX13+AZ13+BB13+BD13+BF13+BH13+BJ13+BL13+BN13+BP13+BR13+BT13+BV13+BX13+BZ13+CB13</f>
        <v>246124981566.29001</v>
      </c>
      <c r="C13" s="43">
        <f>+E13+G13+I13+K13+M13+O13+Q13+S13+U13+W13+Y13+AA13+AC13+AE13+AG13+AI13+AK13+AM13+AO13+AQ13+AS13+AU13+AW13+AY13+BA13+BC13+BE13+BG13+BI13+BK13+BM13+BO13+BQ13+BS13+BU13+BW13+BY13+CA13+CC13</f>
        <v>245227629222</v>
      </c>
      <c r="D13" s="22">
        <v>0</v>
      </c>
      <c r="E13" s="22">
        <v>0</v>
      </c>
      <c r="F13" s="22">
        <v>453200</v>
      </c>
      <c r="G13" s="22">
        <v>501002</v>
      </c>
      <c r="H13" s="43">
        <v>2374421806</v>
      </c>
      <c r="I13" s="43">
        <v>3009487841</v>
      </c>
      <c r="J13" s="45">
        <v>0</v>
      </c>
      <c r="K13" s="45">
        <v>0</v>
      </c>
      <c r="L13" s="25"/>
      <c r="M13" s="25"/>
      <c r="N13" s="45">
        <v>435816000</v>
      </c>
      <c r="O13" s="45">
        <v>385600000</v>
      </c>
      <c r="P13" s="22"/>
      <c r="Q13" s="22"/>
      <c r="R13" s="45"/>
      <c r="S13" s="45"/>
      <c r="T13" s="50">
        <v>510025773</v>
      </c>
      <c r="U13" s="50">
        <v>489040342</v>
      </c>
      <c r="V13" s="45"/>
      <c r="W13" s="45"/>
      <c r="X13" s="45">
        <v>281658000</v>
      </c>
      <c r="Y13" s="45">
        <v>76656073</v>
      </c>
      <c r="Z13" s="45">
        <v>180109227</v>
      </c>
      <c r="AA13" s="45">
        <v>913960000</v>
      </c>
      <c r="AB13" s="45">
        <v>0</v>
      </c>
      <c r="AC13" s="45">
        <v>110576000</v>
      </c>
      <c r="AD13" s="45">
        <v>1326691999.29</v>
      </c>
      <c r="AE13" s="45">
        <v>975088278</v>
      </c>
      <c r="AF13" s="45">
        <v>754698624</v>
      </c>
      <c r="AG13" s="45">
        <v>738220129</v>
      </c>
      <c r="AH13" s="45">
        <v>9556737</v>
      </c>
      <c r="AI13" s="45">
        <v>15336418</v>
      </c>
      <c r="AJ13" s="52">
        <v>36114342</v>
      </c>
      <c r="AK13" s="52">
        <v>4141828970</v>
      </c>
      <c r="AL13" s="45">
        <v>62776468</v>
      </c>
      <c r="AM13" s="45">
        <v>65097563</v>
      </c>
      <c r="AN13" s="45">
        <v>659301057</v>
      </c>
      <c r="AO13" s="45">
        <v>1593550377</v>
      </c>
      <c r="AP13" s="45"/>
      <c r="AQ13" s="45">
        <v>64738852</v>
      </c>
      <c r="AR13" s="22">
        <v>1287762</v>
      </c>
      <c r="AS13" s="22">
        <v>402332</v>
      </c>
      <c r="AT13" s="45">
        <v>17979898529</v>
      </c>
      <c r="AU13" s="45">
        <v>5989537967</v>
      </c>
      <c r="AV13" s="22"/>
      <c r="AW13" s="22"/>
      <c r="AX13" s="22"/>
      <c r="AY13" s="22"/>
      <c r="AZ13" s="22">
        <v>148393000</v>
      </c>
      <c r="BA13" s="22">
        <v>151062000</v>
      </c>
      <c r="BB13" s="45">
        <v>22387643</v>
      </c>
      <c r="BC13" s="45">
        <v>18726263</v>
      </c>
      <c r="BD13" s="130"/>
      <c r="BE13" s="131"/>
      <c r="BF13" s="45">
        <v>9903261396</v>
      </c>
      <c r="BG13" s="45">
        <v>9744676189</v>
      </c>
      <c r="BH13" s="47"/>
      <c r="BI13" s="47"/>
      <c r="BJ13" s="45">
        <v>837203668</v>
      </c>
      <c r="BK13" s="45">
        <v>857884966</v>
      </c>
      <c r="BL13" s="45">
        <v>1421249040</v>
      </c>
      <c r="BM13" s="45">
        <v>671835369</v>
      </c>
      <c r="BN13" s="45">
        <v>5994970320</v>
      </c>
      <c r="BO13" s="45">
        <v>7349472340</v>
      </c>
      <c r="BP13" s="22">
        <v>136331</v>
      </c>
      <c r="BQ13" s="22">
        <v>136331</v>
      </c>
      <c r="BR13" s="22">
        <v>17990296</v>
      </c>
      <c r="BS13" s="22">
        <v>20292958</v>
      </c>
      <c r="BT13" s="58">
        <v>10979179468</v>
      </c>
      <c r="BU13" s="58">
        <v>15372105766</v>
      </c>
      <c r="BV13" s="22">
        <v>130724607</v>
      </c>
      <c r="BW13" s="22">
        <v>130724607</v>
      </c>
      <c r="BX13" s="45">
        <v>6018520000</v>
      </c>
      <c r="BY13" s="45">
        <v>2517845770</v>
      </c>
      <c r="BZ13" s="22"/>
      <c r="CA13" s="22"/>
      <c r="CB13" s="45">
        <v>186038156273</v>
      </c>
      <c r="CC13" s="45">
        <v>189823244519</v>
      </c>
    </row>
    <row r="14" spans="1:81" ht="24.75" customHeight="1" x14ac:dyDescent="0.2">
      <c r="A14" s="39" t="s">
        <v>47</v>
      </c>
      <c r="B14" s="53">
        <f t="shared" ref="B14:G14" si="9">+B12+B13</f>
        <v>447590675333.85999</v>
      </c>
      <c r="C14" s="53">
        <f t="shared" si="9"/>
        <v>501128424021.95001</v>
      </c>
      <c r="D14" s="132">
        <f t="shared" si="9"/>
        <v>108911</v>
      </c>
      <c r="E14" s="132">
        <f t="shared" si="9"/>
        <v>646859</v>
      </c>
      <c r="F14" s="132">
        <f t="shared" si="9"/>
        <v>631883</v>
      </c>
      <c r="G14" s="132">
        <f t="shared" si="9"/>
        <v>655556</v>
      </c>
      <c r="H14" s="44">
        <f t="shared" ref="H14:M14" si="10">+H12+H13</f>
        <v>2952979071</v>
      </c>
      <c r="I14" s="44">
        <f t="shared" si="10"/>
        <v>3483449635</v>
      </c>
      <c r="J14" s="44">
        <f t="shared" si="10"/>
        <v>451721122</v>
      </c>
      <c r="K14" s="44">
        <f t="shared" si="10"/>
        <v>775857950</v>
      </c>
      <c r="L14" s="133">
        <f t="shared" si="10"/>
        <v>11874316</v>
      </c>
      <c r="M14" s="133">
        <f t="shared" si="10"/>
        <v>11874316</v>
      </c>
      <c r="N14" s="53">
        <f t="shared" ref="N14:W14" si="11">+N12+N13</f>
        <v>462746000</v>
      </c>
      <c r="O14" s="53">
        <f t="shared" si="11"/>
        <v>414033000</v>
      </c>
      <c r="P14" s="132">
        <f t="shared" si="11"/>
        <v>0</v>
      </c>
      <c r="Q14" s="132">
        <f t="shared" si="11"/>
        <v>0</v>
      </c>
      <c r="R14" s="53">
        <f t="shared" si="11"/>
        <v>108106900</v>
      </c>
      <c r="S14" s="53">
        <f t="shared" si="11"/>
        <v>90785302</v>
      </c>
      <c r="T14" s="57">
        <f t="shared" si="11"/>
        <v>652285321</v>
      </c>
      <c r="U14" s="57">
        <f t="shared" si="11"/>
        <v>729786009</v>
      </c>
      <c r="V14" s="53">
        <f t="shared" si="11"/>
        <v>0</v>
      </c>
      <c r="W14" s="53">
        <f t="shared" si="11"/>
        <v>0</v>
      </c>
      <c r="X14" s="53">
        <f t="shared" ref="X14:AE14" si="12">+X12+X13</f>
        <v>325604000</v>
      </c>
      <c r="Y14" s="53">
        <f t="shared" si="12"/>
        <v>139505223</v>
      </c>
      <c r="Z14" s="53">
        <f t="shared" si="12"/>
        <v>723668111</v>
      </c>
      <c r="AA14" s="53">
        <f t="shared" si="12"/>
        <v>1230414470</v>
      </c>
      <c r="AB14" s="53">
        <f t="shared" si="12"/>
        <v>522319333</v>
      </c>
      <c r="AC14" s="53">
        <f t="shared" si="12"/>
        <v>412987000</v>
      </c>
      <c r="AD14" s="53">
        <f t="shared" si="12"/>
        <v>2831993101.4200001</v>
      </c>
      <c r="AE14" s="53">
        <f t="shared" si="12"/>
        <v>2483187047.0100002</v>
      </c>
      <c r="AF14" s="53">
        <f>+AF12+AF13</f>
        <v>2219180659</v>
      </c>
      <c r="AG14" s="53">
        <f>+AG12+AG13</f>
        <v>2963297927</v>
      </c>
      <c r="AH14" s="53">
        <f>+AH12+AH13</f>
        <v>1201038021</v>
      </c>
      <c r="AI14" s="53">
        <f>+AI12+AI13</f>
        <v>365774104</v>
      </c>
      <c r="AJ14" s="59">
        <f t="shared" ref="AJ14:AQ14" si="13">+AJ12+AJ13</f>
        <v>1329477979</v>
      </c>
      <c r="AK14" s="59">
        <f t="shared" si="13"/>
        <v>8171043239</v>
      </c>
      <c r="AL14" s="53">
        <f t="shared" si="13"/>
        <v>72544400</v>
      </c>
      <c r="AM14" s="53">
        <f t="shared" si="13"/>
        <v>79704248</v>
      </c>
      <c r="AN14" s="53">
        <f t="shared" si="13"/>
        <v>1474050283</v>
      </c>
      <c r="AO14" s="53">
        <f t="shared" si="13"/>
        <v>3110554648</v>
      </c>
      <c r="AP14" s="53">
        <f t="shared" si="13"/>
        <v>634352848</v>
      </c>
      <c r="AQ14" s="53">
        <f t="shared" si="13"/>
        <v>787982387</v>
      </c>
      <c r="AR14" s="132">
        <f t="shared" ref="AR14:AW14" si="14">+AR12+AR13</f>
        <v>2754575</v>
      </c>
      <c r="AS14" s="132">
        <f t="shared" si="14"/>
        <v>1802999</v>
      </c>
      <c r="AT14" s="53">
        <f t="shared" si="14"/>
        <v>59817301309</v>
      </c>
      <c r="AU14" s="53">
        <f t="shared" si="14"/>
        <v>54949694168</v>
      </c>
      <c r="AV14" s="132">
        <f t="shared" si="14"/>
        <v>0</v>
      </c>
      <c r="AW14" s="132">
        <f t="shared" si="14"/>
        <v>0</v>
      </c>
      <c r="AX14" s="132">
        <f t="shared" ref="AX14:BC14" si="15">+AX12+AX13</f>
        <v>0</v>
      </c>
      <c r="AY14" s="132">
        <f t="shared" si="15"/>
        <v>0</v>
      </c>
      <c r="AZ14" s="132">
        <f t="shared" si="15"/>
        <v>164898000</v>
      </c>
      <c r="BA14" s="132">
        <f t="shared" si="15"/>
        <v>169734000</v>
      </c>
      <c r="BB14" s="53">
        <f t="shared" si="15"/>
        <v>1077583733.4400001</v>
      </c>
      <c r="BC14" s="53">
        <f t="shared" si="15"/>
        <v>548034422.94000006</v>
      </c>
      <c r="BD14" s="132">
        <f>+BD12+BD13</f>
        <v>0</v>
      </c>
      <c r="BE14" s="132">
        <f>+BE12+BE13</f>
        <v>0</v>
      </c>
      <c r="BF14" s="53">
        <f t="shared" ref="BF14:BM14" si="16">+BF12+BF13</f>
        <v>12995354859</v>
      </c>
      <c r="BG14" s="53">
        <f t="shared" si="16"/>
        <v>14743579185</v>
      </c>
      <c r="BH14" s="53">
        <f t="shared" si="16"/>
        <v>143450582</v>
      </c>
      <c r="BI14" s="53">
        <f t="shared" si="16"/>
        <v>282271963</v>
      </c>
      <c r="BJ14" s="53">
        <f t="shared" si="16"/>
        <v>1246801155</v>
      </c>
      <c r="BK14" s="53">
        <f t="shared" si="16"/>
        <v>2094598645</v>
      </c>
      <c r="BL14" s="53">
        <f t="shared" si="16"/>
        <v>2922722367</v>
      </c>
      <c r="BM14" s="53">
        <f t="shared" si="16"/>
        <v>2652458366</v>
      </c>
      <c r="BN14" s="53">
        <f t="shared" ref="BN14:CC14" si="17">+BN12+BN13</f>
        <v>7634771129</v>
      </c>
      <c r="BO14" s="53">
        <f t="shared" si="17"/>
        <v>9428728997</v>
      </c>
      <c r="BP14" s="132">
        <f t="shared" si="17"/>
        <v>149187</v>
      </c>
      <c r="BQ14" s="132">
        <f t="shared" si="17"/>
        <v>267147</v>
      </c>
      <c r="BR14" s="132">
        <f t="shared" si="17"/>
        <v>24638750</v>
      </c>
      <c r="BS14" s="132">
        <f t="shared" si="17"/>
        <v>31881922</v>
      </c>
      <c r="BT14" s="53">
        <f t="shared" si="17"/>
        <v>14245857429</v>
      </c>
      <c r="BU14" s="53">
        <f t="shared" si="17"/>
        <v>18682933554</v>
      </c>
      <c r="BV14" s="132">
        <f t="shared" si="17"/>
        <v>726664810</v>
      </c>
      <c r="BW14" s="132">
        <f t="shared" si="17"/>
        <v>913978637</v>
      </c>
      <c r="BX14" s="53">
        <v>6943299000</v>
      </c>
      <c r="BY14" s="53">
        <f t="shared" si="17"/>
        <v>3103628501</v>
      </c>
      <c r="BZ14" s="132">
        <f>+BZ12+BZ13</f>
        <v>6100000</v>
      </c>
      <c r="CA14" s="132">
        <f t="shared" si="17"/>
        <v>16980640</v>
      </c>
      <c r="CB14" s="53">
        <f t="shared" si="17"/>
        <v>323663646189</v>
      </c>
      <c r="CC14" s="53">
        <f t="shared" si="17"/>
        <v>368256311955</v>
      </c>
    </row>
    <row r="15" spans="1:81" ht="24.75" customHeight="1" x14ac:dyDescent="0.2">
      <c r="A15" s="40" t="s">
        <v>48</v>
      </c>
      <c r="B15" s="43"/>
      <c r="C15" s="43"/>
      <c r="D15" s="22"/>
      <c r="E15" s="22"/>
      <c r="F15" s="22"/>
      <c r="G15" s="22"/>
      <c r="H15" s="43"/>
      <c r="I15" s="43"/>
      <c r="J15" s="45"/>
      <c r="K15" s="45"/>
      <c r="L15" s="22"/>
      <c r="M15" s="22"/>
      <c r="N15" s="45"/>
      <c r="O15" s="45"/>
      <c r="P15" s="22"/>
      <c r="Q15" s="22"/>
      <c r="R15" s="45"/>
      <c r="S15" s="45"/>
      <c r="T15" s="50"/>
      <c r="U15" s="50"/>
      <c r="V15" s="45"/>
      <c r="W15" s="45"/>
      <c r="X15" s="45"/>
      <c r="Y15" s="45"/>
      <c r="Z15" s="45"/>
      <c r="AA15" s="45"/>
      <c r="AB15" s="45"/>
      <c r="AC15" s="45"/>
      <c r="AD15" s="45"/>
      <c r="AE15" s="45"/>
      <c r="AF15" s="45"/>
      <c r="AG15" s="45"/>
      <c r="AH15" s="45"/>
      <c r="AI15" s="45"/>
      <c r="AJ15" s="52"/>
      <c r="AK15" s="52"/>
      <c r="AL15" s="45"/>
      <c r="AM15" s="45"/>
      <c r="AN15" s="45"/>
      <c r="AO15" s="45"/>
      <c r="AP15" s="45"/>
      <c r="AQ15" s="45"/>
      <c r="AR15" s="22"/>
      <c r="AS15" s="22"/>
      <c r="AT15" s="45"/>
      <c r="AU15" s="45"/>
      <c r="AV15" s="22"/>
      <c r="AW15" s="22"/>
      <c r="AX15" s="22"/>
      <c r="AY15" s="22"/>
      <c r="AZ15" s="22"/>
      <c r="BA15" s="22"/>
      <c r="BB15" s="45"/>
      <c r="BC15" s="45"/>
      <c r="BD15" s="130"/>
      <c r="BE15" s="131"/>
      <c r="BF15" s="45"/>
      <c r="BG15" s="45"/>
      <c r="BH15" s="45"/>
      <c r="BI15" s="45"/>
      <c r="BJ15" s="45"/>
      <c r="BK15" s="45"/>
      <c r="BL15" s="45"/>
      <c r="BM15" s="45"/>
      <c r="BN15" s="45"/>
      <c r="BO15" s="45"/>
      <c r="BP15" s="22"/>
      <c r="BQ15" s="22"/>
      <c r="BR15" s="22"/>
      <c r="BS15" s="22"/>
      <c r="BT15" s="58"/>
      <c r="BU15" s="58"/>
      <c r="BV15" s="22"/>
      <c r="BW15" s="22"/>
      <c r="BX15" s="45"/>
      <c r="BY15" s="45"/>
      <c r="BZ15" s="23"/>
      <c r="CA15" s="23"/>
      <c r="CB15" s="45"/>
      <c r="CC15" s="45"/>
    </row>
    <row r="16" spans="1:81" s="63" customFormat="1" ht="24.75" customHeight="1" x14ac:dyDescent="0.2">
      <c r="A16" s="41" t="s">
        <v>49</v>
      </c>
      <c r="B16" s="43">
        <f t="shared" ref="B16:B25" si="18">+D16+F16+H16+J16+L16+N16+P16+R16+T16+V16+X16+Z16+AB16+AD16+AF16+AH16+AJ16+AL16+AN16+AP16+AR16+AT16+AV16+AX16+AZ16+BB16+BD16+BF16+BH16+BJ16+BL16+BN16+BP16+BR16+BT16+BV16+BX16+BZ16+CB16</f>
        <v>85061828796</v>
      </c>
      <c r="C16" s="43">
        <f t="shared" ref="C16:C25" si="19">+E16+G16+I16+K16+M16+O16+Q16+S16+U16+W16+Y16+AA16+AC16+AE16+AG16+AI16+AK16+AM16+AO16+AQ16+AS16+AU16+AW16+AY16+BA16+BC16+BE16+BG16+BI16+BK16+BM16+BO16+BQ16+BS16+BU16+BW16+BY16+CA16+CC16</f>
        <v>65400344764</v>
      </c>
      <c r="D16" s="22">
        <v>1350000</v>
      </c>
      <c r="E16" s="22">
        <v>1350000</v>
      </c>
      <c r="F16" s="22">
        <v>860000</v>
      </c>
      <c r="G16" s="22">
        <v>860000</v>
      </c>
      <c r="H16" s="43">
        <v>463500000</v>
      </c>
      <c r="I16" s="43">
        <v>463500000</v>
      </c>
      <c r="J16" s="45">
        <v>1586500000</v>
      </c>
      <c r="K16" s="45">
        <v>1586500000</v>
      </c>
      <c r="L16" s="22">
        <v>168000000</v>
      </c>
      <c r="M16" s="22">
        <v>168000000</v>
      </c>
      <c r="N16" s="45">
        <v>734000000</v>
      </c>
      <c r="O16" s="45">
        <v>734000000</v>
      </c>
      <c r="P16" s="22"/>
      <c r="Q16" s="22"/>
      <c r="R16" s="45">
        <v>970000000</v>
      </c>
      <c r="S16" s="45">
        <v>970000000</v>
      </c>
      <c r="T16" s="50">
        <v>650000000</v>
      </c>
      <c r="U16" s="50">
        <v>650000000</v>
      </c>
      <c r="V16" s="45"/>
      <c r="W16" s="45"/>
      <c r="X16" s="45">
        <v>1200000000</v>
      </c>
      <c r="Y16" s="45">
        <v>1200000000</v>
      </c>
      <c r="Z16" s="45">
        <v>1400000000</v>
      </c>
      <c r="AA16" s="45">
        <v>1400000000</v>
      </c>
      <c r="AB16" s="45">
        <v>500000000</v>
      </c>
      <c r="AC16" s="45">
        <v>500000000</v>
      </c>
      <c r="AD16" s="45">
        <v>771370000</v>
      </c>
      <c r="AE16" s="45">
        <v>771370000</v>
      </c>
      <c r="AF16" s="45">
        <v>1344000000</v>
      </c>
      <c r="AG16" s="45">
        <v>1344000000</v>
      </c>
      <c r="AH16" s="45">
        <v>1500000000</v>
      </c>
      <c r="AI16" s="45">
        <v>1500000000</v>
      </c>
      <c r="AJ16" s="52">
        <v>1050000000</v>
      </c>
      <c r="AK16" s="52">
        <v>1050000000</v>
      </c>
      <c r="AL16" s="45">
        <v>623710</v>
      </c>
      <c r="AM16" s="45">
        <v>623710</v>
      </c>
      <c r="AN16" s="45">
        <v>1100000000</v>
      </c>
      <c r="AO16" s="45">
        <v>1100000000</v>
      </c>
      <c r="AP16" s="45">
        <v>1501710029</v>
      </c>
      <c r="AQ16" s="45">
        <v>1501710029</v>
      </c>
      <c r="AR16" s="22">
        <v>2506400</v>
      </c>
      <c r="AS16" s="22">
        <v>2506400</v>
      </c>
      <c r="AT16" s="45">
        <v>1622250000</v>
      </c>
      <c r="AU16" s="45">
        <v>1622250000</v>
      </c>
      <c r="AV16" s="22"/>
      <c r="AW16" s="22"/>
      <c r="AX16" s="22"/>
      <c r="AY16" s="22"/>
      <c r="AZ16" s="22">
        <v>4500000</v>
      </c>
      <c r="BA16" s="22">
        <v>4500000</v>
      </c>
      <c r="BB16" s="45">
        <v>350000000</v>
      </c>
      <c r="BC16" s="45">
        <v>350000000</v>
      </c>
      <c r="BD16" s="130"/>
      <c r="BE16" s="131"/>
      <c r="BF16" s="45">
        <v>1042943000</v>
      </c>
      <c r="BG16" s="45">
        <v>1042943000</v>
      </c>
      <c r="BH16" s="45">
        <v>800000000</v>
      </c>
      <c r="BI16" s="45">
        <v>800000000</v>
      </c>
      <c r="BJ16" s="45">
        <v>2440527492</v>
      </c>
      <c r="BK16" s="45">
        <v>2440527492</v>
      </c>
      <c r="BL16" s="45">
        <v>4000000000</v>
      </c>
      <c r="BM16" s="45">
        <v>4000000000</v>
      </c>
      <c r="BN16" s="45"/>
      <c r="BO16" s="45"/>
      <c r="BP16" s="22">
        <v>215000</v>
      </c>
      <c r="BQ16" s="22">
        <v>215000</v>
      </c>
      <c r="BR16" s="22">
        <v>11504727</v>
      </c>
      <c r="BS16" s="22">
        <v>11504727</v>
      </c>
      <c r="BT16" s="58">
        <v>2899796742</v>
      </c>
      <c r="BU16" s="58">
        <v>2899796741</v>
      </c>
      <c r="BV16" s="22">
        <v>1684650000</v>
      </c>
      <c r="BW16" s="22">
        <v>1684650000</v>
      </c>
      <c r="BX16" s="45">
        <v>500000000</v>
      </c>
      <c r="BY16" s="45">
        <v>500000000</v>
      </c>
      <c r="BZ16" s="23">
        <v>180000000</v>
      </c>
      <c r="CA16" s="23">
        <v>180000000</v>
      </c>
      <c r="CB16" s="45">
        <v>54581021696</v>
      </c>
      <c r="CC16" s="45">
        <v>34919537665</v>
      </c>
    </row>
    <row r="17" spans="1:81" ht="24.75" customHeight="1" x14ac:dyDescent="0.2">
      <c r="A17" s="41" t="s">
        <v>50</v>
      </c>
      <c r="B17" s="43">
        <f t="shared" si="18"/>
        <v>3240801364.8899999</v>
      </c>
      <c r="C17" s="43">
        <f t="shared" si="19"/>
        <v>3801675468.8899999</v>
      </c>
      <c r="D17" s="22">
        <v>22281</v>
      </c>
      <c r="E17" s="22">
        <v>22281</v>
      </c>
      <c r="F17" s="22">
        <v>22372</v>
      </c>
      <c r="G17" s="22">
        <v>22372</v>
      </c>
      <c r="H17" s="45">
        <v>39509153</v>
      </c>
      <c r="I17" s="45">
        <v>58149217</v>
      </c>
      <c r="J17" s="45"/>
      <c r="K17" s="45"/>
      <c r="L17" s="22">
        <v>-30979310</v>
      </c>
      <c r="M17" s="22">
        <v>-30979310</v>
      </c>
      <c r="N17" s="45">
        <v>18000000</v>
      </c>
      <c r="O17" s="45">
        <v>18000000</v>
      </c>
      <c r="P17" s="22"/>
      <c r="Q17" s="22"/>
      <c r="R17" s="45"/>
      <c r="S17" s="45"/>
      <c r="T17" s="58">
        <v>76169880</v>
      </c>
      <c r="U17" s="58">
        <v>76169880</v>
      </c>
      <c r="V17" s="45"/>
      <c r="W17" s="45"/>
      <c r="X17" s="45">
        <v>20142163</v>
      </c>
      <c r="Y17" s="45">
        <v>31814148</v>
      </c>
      <c r="Z17" s="45"/>
      <c r="AA17" s="45"/>
      <c r="AB17" s="45">
        <v>92331000</v>
      </c>
      <c r="AC17" s="45">
        <v>92331000</v>
      </c>
      <c r="AD17" s="45">
        <v>48771842.890000001</v>
      </c>
      <c r="AE17" s="45">
        <v>48771842.890000001</v>
      </c>
      <c r="AF17" s="45">
        <v>378478626</v>
      </c>
      <c r="AG17" s="45">
        <v>479178405</v>
      </c>
      <c r="AH17" s="45"/>
      <c r="AI17" s="45"/>
      <c r="AJ17" s="52">
        <v>0</v>
      </c>
      <c r="AK17" s="52">
        <v>86590263</v>
      </c>
      <c r="AL17" s="45">
        <v>122297</v>
      </c>
      <c r="AM17" s="45">
        <v>122297</v>
      </c>
      <c r="AN17" s="45">
        <v>26345638</v>
      </c>
      <c r="AO17" s="45">
        <v>166887459</v>
      </c>
      <c r="AP17" s="45">
        <v>21404079</v>
      </c>
      <c r="AQ17" s="45">
        <v>21404079</v>
      </c>
      <c r="AR17" s="22">
        <v>726421</v>
      </c>
      <c r="AS17" s="22">
        <v>726421</v>
      </c>
      <c r="AT17" s="45">
        <v>1162074110</v>
      </c>
      <c r="AU17" s="45">
        <v>1162074110</v>
      </c>
      <c r="AV17" s="22"/>
      <c r="AW17" s="22"/>
      <c r="AX17" s="22"/>
      <c r="AY17" s="22"/>
      <c r="AZ17" s="22"/>
      <c r="BA17" s="22"/>
      <c r="BB17" s="45">
        <v>135235174</v>
      </c>
      <c r="BC17" s="45">
        <v>149752440</v>
      </c>
      <c r="BD17" s="131"/>
      <c r="BE17" s="22"/>
      <c r="BF17" s="45">
        <v>710106698</v>
      </c>
      <c r="BG17" s="45">
        <v>710106698</v>
      </c>
      <c r="BH17" s="45">
        <v>39261789</v>
      </c>
      <c r="BI17" s="45">
        <v>0</v>
      </c>
      <c r="BJ17" s="45"/>
      <c r="BK17" s="45"/>
      <c r="BL17" s="45">
        <v>77184994</v>
      </c>
      <c r="BM17" s="45">
        <v>77184994</v>
      </c>
      <c r="BN17" s="45">
        <v>420602653</v>
      </c>
      <c r="BO17" s="45">
        <v>563996201</v>
      </c>
      <c r="BP17" s="22"/>
      <c r="BQ17" s="22">
        <v>21188</v>
      </c>
      <c r="BR17" s="22">
        <v>547452</v>
      </c>
      <c r="BS17" s="22">
        <v>547452</v>
      </c>
      <c r="BT17" s="45"/>
      <c r="BU17" s="45"/>
      <c r="BV17" s="22">
        <v>4722052</v>
      </c>
      <c r="BW17" s="22">
        <v>4722052</v>
      </c>
      <c r="BX17" s="45"/>
      <c r="BY17" s="45">
        <v>84059979</v>
      </c>
      <c r="BZ17" s="22"/>
      <c r="CA17" s="22"/>
      <c r="CB17" s="45"/>
      <c r="CC17" s="45"/>
    </row>
    <row r="18" spans="1:81" ht="24.75" customHeight="1" x14ac:dyDescent="0.2">
      <c r="A18" s="41" t="s">
        <v>51</v>
      </c>
      <c r="B18" s="43">
        <f t="shared" si="18"/>
        <v>282169957</v>
      </c>
      <c r="C18" s="43">
        <f t="shared" si="19"/>
        <v>4014549216</v>
      </c>
      <c r="D18" s="22"/>
      <c r="E18" s="22"/>
      <c r="F18" s="22">
        <v>920134</v>
      </c>
      <c r="G18" s="22">
        <v>0</v>
      </c>
      <c r="H18" s="45"/>
      <c r="I18" s="45"/>
      <c r="J18" s="45"/>
      <c r="K18" s="45"/>
      <c r="L18" s="22"/>
      <c r="M18" s="22"/>
      <c r="N18" s="45"/>
      <c r="O18" s="45"/>
      <c r="P18" s="22"/>
      <c r="Q18" s="22"/>
      <c r="R18" s="45"/>
      <c r="S18" s="45"/>
      <c r="T18" s="50"/>
      <c r="U18" s="50"/>
      <c r="V18" s="45"/>
      <c r="W18" s="45"/>
      <c r="X18" s="45"/>
      <c r="Y18" s="45"/>
      <c r="Z18" s="45"/>
      <c r="AA18" s="45"/>
      <c r="AB18" s="45"/>
      <c r="AC18" s="45"/>
      <c r="AD18" s="45"/>
      <c r="AE18" s="45"/>
      <c r="AF18" s="45"/>
      <c r="AG18" s="45"/>
      <c r="AH18" s="45"/>
      <c r="AI18" s="45"/>
      <c r="AJ18" s="52">
        <v>0</v>
      </c>
      <c r="AK18" s="52">
        <v>3733299393</v>
      </c>
      <c r="AL18" s="45"/>
      <c r="AM18" s="45"/>
      <c r="AN18" s="45"/>
      <c r="AO18" s="45"/>
      <c r="AP18" s="45"/>
      <c r="AQ18" s="45"/>
      <c r="AR18" s="22"/>
      <c r="AS18" s="22"/>
      <c r="AT18" s="45"/>
      <c r="AU18" s="45"/>
      <c r="AV18" s="22"/>
      <c r="AW18" s="22"/>
      <c r="AX18" s="22"/>
      <c r="AY18" s="22"/>
      <c r="AZ18" s="22"/>
      <c r="BA18" s="22"/>
      <c r="BB18" s="45"/>
      <c r="BC18" s="45"/>
      <c r="BD18" s="130"/>
      <c r="BE18" s="131"/>
      <c r="BF18" s="45"/>
      <c r="BG18" s="45"/>
      <c r="BH18" s="45"/>
      <c r="BI18" s="45"/>
      <c r="BJ18" s="45"/>
      <c r="BK18" s="45"/>
      <c r="BL18" s="45">
        <v>281249823</v>
      </c>
      <c r="BM18" s="45">
        <v>281249823</v>
      </c>
      <c r="BN18" s="45"/>
      <c r="BO18" s="45"/>
      <c r="BP18" s="22"/>
      <c r="BQ18" s="22"/>
      <c r="BR18" s="22"/>
      <c r="BS18" s="22"/>
      <c r="BT18" s="45"/>
      <c r="BU18" s="45"/>
      <c r="BV18" s="22"/>
      <c r="BW18" s="22"/>
      <c r="BX18" s="45"/>
      <c r="BY18" s="45"/>
      <c r="BZ18" s="22"/>
      <c r="CA18" s="22"/>
      <c r="CB18" s="45"/>
      <c r="CC18" s="45"/>
    </row>
    <row r="19" spans="1:81" s="63" customFormat="1" ht="24.75" customHeight="1" x14ac:dyDescent="0.2">
      <c r="A19" s="41" t="s">
        <v>52</v>
      </c>
      <c r="B19" s="43">
        <f t="shared" si="18"/>
        <v>3017697036</v>
      </c>
      <c r="C19" s="43">
        <f t="shared" si="19"/>
        <v>5017697036</v>
      </c>
      <c r="D19" s="22"/>
      <c r="E19" s="22"/>
      <c r="F19" s="22"/>
      <c r="G19" s="22"/>
      <c r="H19" s="43"/>
      <c r="I19" s="43"/>
      <c r="J19" s="45"/>
      <c r="K19" s="45"/>
      <c r="L19" s="22"/>
      <c r="M19" s="22"/>
      <c r="N19" s="45"/>
      <c r="O19" s="45"/>
      <c r="P19" s="22"/>
      <c r="Q19" s="22"/>
      <c r="R19" s="45"/>
      <c r="S19" s="45"/>
      <c r="T19" s="50"/>
      <c r="U19" s="50"/>
      <c r="V19" s="45"/>
      <c r="W19" s="45"/>
      <c r="X19" s="45"/>
      <c r="Y19" s="45"/>
      <c r="Z19" s="45">
        <v>241625199</v>
      </c>
      <c r="AA19" s="45">
        <v>241625199</v>
      </c>
      <c r="AB19" s="45"/>
      <c r="AC19" s="45"/>
      <c r="AD19" s="45"/>
      <c r="AE19" s="45"/>
      <c r="AF19" s="45"/>
      <c r="AG19" s="45"/>
      <c r="AH19" s="45"/>
      <c r="AI19" s="45"/>
      <c r="AJ19" s="52"/>
      <c r="AK19" s="52"/>
      <c r="AL19" s="45">
        <v>15745156</v>
      </c>
      <c r="AM19" s="45">
        <v>15745156</v>
      </c>
      <c r="AN19" s="45">
        <v>1247084526</v>
      </c>
      <c r="AO19" s="45">
        <v>1247084526</v>
      </c>
      <c r="AP19" s="45"/>
      <c r="AQ19" s="45"/>
      <c r="AR19" s="22"/>
      <c r="AS19" s="22"/>
      <c r="AT19" s="45"/>
      <c r="AU19" s="45"/>
      <c r="AV19" s="22"/>
      <c r="AW19" s="22"/>
      <c r="AX19" s="22"/>
      <c r="AY19" s="22"/>
      <c r="AZ19" s="22">
        <v>13322000</v>
      </c>
      <c r="BA19" s="22">
        <v>13322000</v>
      </c>
      <c r="BB19" s="45"/>
      <c r="BC19" s="45"/>
      <c r="BD19" s="22"/>
      <c r="BE19" s="22"/>
      <c r="BF19" s="45">
        <v>0</v>
      </c>
      <c r="BG19" s="45">
        <v>2000000000</v>
      </c>
      <c r="BH19" s="45"/>
      <c r="BI19" s="45"/>
      <c r="BJ19" s="45"/>
      <c r="BK19" s="45"/>
      <c r="BL19" s="45"/>
      <c r="BM19" s="45"/>
      <c r="BN19" s="45">
        <v>1500000000</v>
      </c>
      <c r="BO19" s="45">
        <v>1500000000</v>
      </c>
      <c r="BP19" s="22"/>
      <c r="BQ19" s="22"/>
      <c r="BR19" s="22">
        <v>-79845</v>
      </c>
      <c r="BS19" s="22">
        <v>-79845</v>
      </c>
      <c r="BT19" s="58"/>
      <c r="BU19" s="58"/>
      <c r="BV19" s="22"/>
      <c r="BW19" s="22"/>
      <c r="BX19" s="45"/>
      <c r="BY19" s="45"/>
      <c r="BZ19" s="22"/>
      <c r="CA19" s="22"/>
      <c r="CB19" s="45"/>
      <c r="CC19" s="45"/>
    </row>
    <row r="20" spans="1:81" ht="24.75" customHeight="1" x14ac:dyDescent="0.2">
      <c r="A20" s="41" t="s">
        <v>53</v>
      </c>
      <c r="B20" s="43">
        <f t="shared" si="18"/>
        <v>1926753582.5999999</v>
      </c>
      <c r="C20" s="43">
        <f t="shared" si="19"/>
        <v>-72607856.400000095</v>
      </c>
      <c r="D20" s="22">
        <v>38912</v>
      </c>
      <c r="E20" s="22">
        <v>0</v>
      </c>
      <c r="F20" s="22"/>
      <c r="G20" s="22"/>
      <c r="H20" s="43"/>
      <c r="I20" s="43"/>
      <c r="J20" s="45"/>
      <c r="K20" s="45"/>
      <c r="L20" s="22">
        <v>414856476</v>
      </c>
      <c r="M20" s="22">
        <v>414856476</v>
      </c>
      <c r="N20" s="45">
        <v>204777000</v>
      </c>
      <c r="O20" s="45">
        <v>204777000</v>
      </c>
      <c r="P20" s="22"/>
      <c r="Q20" s="22"/>
      <c r="R20" s="45"/>
      <c r="S20" s="45"/>
      <c r="T20" s="50">
        <v>1108172194</v>
      </c>
      <c r="U20" s="50">
        <v>1108849667</v>
      </c>
      <c r="V20" s="45"/>
      <c r="W20" s="45"/>
      <c r="X20" s="45"/>
      <c r="Y20" s="45"/>
      <c r="Z20" s="45"/>
      <c r="AA20" s="45"/>
      <c r="AB20" s="45"/>
      <c r="AC20" s="45"/>
      <c r="AD20" s="45">
        <v>362169000.60000002</v>
      </c>
      <c r="AE20" s="45">
        <v>362169000.60000002</v>
      </c>
      <c r="AF20" s="45"/>
      <c r="AG20" s="45"/>
      <c r="AH20" s="45"/>
      <c r="AI20" s="45"/>
      <c r="AJ20" s="52">
        <v>90000</v>
      </c>
      <c r="AK20" s="52">
        <v>90000</v>
      </c>
      <c r="AL20" s="45"/>
      <c r="AM20" s="45"/>
      <c r="AN20" s="45"/>
      <c r="AO20" s="45"/>
      <c r="AP20" s="45">
        <v>-163350000</v>
      </c>
      <c r="AQ20" s="45">
        <v>-163350000</v>
      </c>
      <c r="AR20" s="22"/>
      <c r="AS20" s="22"/>
      <c r="AT20" s="45"/>
      <c r="AU20" s="45"/>
      <c r="AV20" s="22"/>
      <c r="AW20" s="22"/>
      <c r="AX20" s="22"/>
      <c r="AY20" s="22"/>
      <c r="AZ20" s="22"/>
      <c r="BA20" s="22"/>
      <c r="BB20" s="45"/>
      <c r="BC20" s="45"/>
      <c r="BD20" s="22"/>
      <c r="BE20" s="22"/>
      <c r="BF20" s="45">
        <v>0</v>
      </c>
      <c r="BG20" s="45">
        <v>-2000000000</v>
      </c>
      <c r="BH20" s="45"/>
      <c r="BI20" s="45"/>
      <c r="BJ20" s="45"/>
      <c r="BK20" s="45"/>
      <c r="BL20" s="45"/>
      <c r="BM20" s="45"/>
      <c r="BN20" s="45"/>
      <c r="BO20" s="45"/>
      <c r="BP20" s="22"/>
      <c r="BQ20" s="22"/>
      <c r="BR20" s="22"/>
      <c r="BS20" s="22"/>
      <c r="BT20" s="58"/>
      <c r="BU20" s="58"/>
      <c r="BV20" s="22"/>
      <c r="BW20" s="22"/>
      <c r="BX20" s="45"/>
      <c r="BY20" s="45"/>
      <c r="BZ20" s="22"/>
      <c r="CA20" s="22"/>
      <c r="CB20" s="45"/>
      <c r="CC20" s="45"/>
    </row>
    <row r="21" spans="1:81" ht="24.75" customHeight="1" x14ac:dyDescent="0.2">
      <c r="A21" s="41" t="s">
        <v>54</v>
      </c>
      <c r="B21" s="43">
        <f t="shared" si="18"/>
        <v>16187606561.499998</v>
      </c>
      <c r="C21" s="43">
        <f t="shared" si="19"/>
        <v>16865884751.760002</v>
      </c>
      <c r="D21" s="22">
        <v>16563</v>
      </c>
      <c r="E21" s="22">
        <v>-51342</v>
      </c>
      <c r="F21" s="22">
        <v>-333654</v>
      </c>
      <c r="G21" s="126">
        <v>7233</v>
      </c>
      <c r="H21" s="43">
        <v>186401431</v>
      </c>
      <c r="I21" s="43">
        <v>120755660</v>
      </c>
      <c r="J21" s="45">
        <v>15687954</v>
      </c>
      <c r="K21" s="45">
        <v>16557360</v>
      </c>
      <c r="L21" s="22">
        <v>-20753524</v>
      </c>
      <c r="M21" s="22">
        <v>-20753524</v>
      </c>
      <c r="N21" s="45">
        <v>40756000</v>
      </c>
      <c r="O21" s="45">
        <v>41052000</v>
      </c>
      <c r="P21" s="22"/>
      <c r="Q21" s="22"/>
      <c r="R21" s="45">
        <v>31600620</v>
      </c>
      <c r="S21" s="45">
        <v>36224503</v>
      </c>
      <c r="T21" s="50">
        <v>6502500</v>
      </c>
      <c r="U21" s="50">
        <v>27652924</v>
      </c>
      <c r="V21" s="45"/>
      <c r="W21" s="45"/>
      <c r="X21" s="45">
        <v>88033752</v>
      </c>
      <c r="Y21" s="45">
        <v>105047865</v>
      </c>
      <c r="Z21" s="45">
        <v>164380850</v>
      </c>
      <c r="AA21" s="45">
        <v>14595326</v>
      </c>
      <c r="AB21" s="45">
        <v>9714000</v>
      </c>
      <c r="AC21" s="45">
        <v>42984000</v>
      </c>
      <c r="AD21" s="45">
        <v>275763469.02999997</v>
      </c>
      <c r="AE21" s="45">
        <v>257560606.44999999</v>
      </c>
      <c r="AF21" s="45">
        <v>1006997791</v>
      </c>
      <c r="AG21" s="45">
        <v>1110745323</v>
      </c>
      <c r="AH21" s="45">
        <v>165898130</v>
      </c>
      <c r="AI21" s="45">
        <v>49388655</v>
      </c>
      <c r="AJ21" s="52">
        <v>335977763</v>
      </c>
      <c r="AK21" s="52">
        <v>779312371</v>
      </c>
      <c r="AL21" s="45">
        <v>-4997937</v>
      </c>
      <c r="AM21" s="45">
        <v>-2167622</v>
      </c>
      <c r="AN21" s="45">
        <v>1405418206</v>
      </c>
      <c r="AO21" s="45">
        <v>1384631142</v>
      </c>
      <c r="AP21" s="45">
        <v>130092002</v>
      </c>
      <c r="AQ21" s="45">
        <v>295959880</v>
      </c>
      <c r="AR21" s="22">
        <v>2897162</v>
      </c>
      <c r="AS21" s="22">
        <v>3156313</v>
      </c>
      <c r="AT21" s="45">
        <v>5323056088</v>
      </c>
      <c r="AU21" s="45">
        <v>12393985113</v>
      </c>
      <c r="AV21" s="22"/>
      <c r="AW21" s="22"/>
      <c r="AX21" s="22"/>
      <c r="AY21" s="22"/>
      <c r="AZ21" s="22">
        <v>-4695000</v>
      </c>
      <c r="BA21" s="22">
        <v>-4521000</v>
      </c>
      <c r="BB21" s="45">
        <v>145172656.47</v>
      </c>
      <c r="BC21" s="45">
        <v>114136815.31</v>
      </c>
      <c r="BD21" s="130"/>
      <c r="BE21" s="130"/>
      <c r="BF21" s="45">
        <v>609089150</v>
      </c>
      <c r="BG21" s="45">
        <v>2124039413</v>
      </c>
      <c r="BH21" s="45">
        <v>110990727</v>
      </c>
      <c r="BI21" s="45">
        <v>124741950</v>
      </c>
      <c r="BJ21" s="45">
        <v>175605475</v>
      </c>
      <c r="BK21" s="45">
        <v>111287149</v>
      </c>
      <c r="BL21" s="45">
        <v>263641941</v>
      </c>
      <c r="BM21" s="45">
        <v>397447077</v>
      </c>
      <c r="BN21" s="45">
        <v>1433935479</v>
      </c>
      <c r="BO21" s="45">
        <v>1806042838</v>
      </c>
      <c r="BP21" s="22"/>
      <c r="BQ21" s="22">
        <v>24447</v>
      </c>
      <c r="BR21" s="22"/>
      <c r="BS21" s="22"/>
      <c r="BT21" s="58">
        <v>4275499143</v>
      </c>
      <c r="BU21" s="58">
        <v>-4329251182</v>
      </c>
      <c r="BV21" s="22">
        <v>15257824</v>
      </c>
      <c r="BW21" s="22">
        <v>4462954</v>
      </c>
      <c r="BX21" s="45"/>
      <c r="BY21" s="45">
        <v>-167480496</v>
      </c>
      <c r="BZ21" s="22"/>
      <c r="CA21" s="22">
        <v>28311000</v>
      </c>
      <c r="CB21" s="45"/>
      <c r="CC21" s="45"/>
    </row>
    <row r="22" spans="1:81" s="63" customFormat="1" ht="24.75" customHeight="1" x14ac:dyDescent="0.2">
      <c r="A22" s="41" t="s">
        <v>55</v>
      </c>
      <c r="B22" s="43">
        <f t="shared" si="18"/>
        <v>59262208835.600006</v>
      </c>
      <c r="C22" s="43">
        <f t="shared" si="19"/>
        <v>71338593498.180008</v>
      </c>
      <c r="D22" s="22">
        <v>148852</v>
      </c>
      <c r="E22" s="22">
        <v>0</v>
      </c>
      <c r="F22" s="22">
        <v>86541</v>
      </c>
      <c r="G22" s="22">
        <v>673020</v>
      </c>
      <c r="H22" s="43">
        <v>609163363</v>
      </c>
      <c r="I22" s="43">
        <v>407273255</v>
      </c>
      <c r="J22" s="45">
        <v>705871614</v>
      </c>
      <c r="K22" s="45">
        <v>721559569</v>
      </c>
      <c r="L22" s="22">
        <v>-450556566</v>
      </c>
      <c r="M22" s="22">
        <v>-450556566</v>
      </c>
      <c r="N22" s="45">
        <v>222203000</v>
      </c>
      <c r="O22" s="45">
        <v>253271000</v>
      </c>
      <c r="P22" s="22"/>
      <c r="Q22" s="22"/>
      <c r="R22" s="45">
        <v>80367374</v>
      </c>
      <c r="S22" s="45">
        <v>90091681</v>
      </c>
      <c r="T22" s="58">
        <v>683624105</v>
      </c>
      <c r="U22" s="58">
        <v>690126605</v>
      </c>
      <c r="V22" s="45"/>
      <c r="W22" s="45"/>
      <c r="X22" s="45">
        <v>93247715</v>
      </c>
      <c r="Y22" s="45">
        <v>181281467</v>
      </c>
      <c r="Z22" s="45">
        <v>1109444454</v>
      </c>
      <c r="AA22" s="45">
        <v>1273825303</v>
      </c>
      <c r="AB22" s="45">
        <v>-10736887</v>
      </c>
      <c r="AC22" s="45">
        <v>-1023000</v>
      </c>
      <c r="AD22" s="45">
        <v>1785871762.6099999</v>
      </c>
      <c r="AE22" s="45">
        <v>1992214300.72</v>
      </c>
      <c r="AF22" s="45">
        <v>2550681849</v>
      </c>
      <c r="AG22" s="45">
        <v>3456979862</v>
      </c>
      <c r="AH22" s="45">
        <v>-310675151</v>
      </c>
      <c r="AI22" s="45">
        <v>-144777021</v>
      </c>
      <c r="AJ22" s="52">
        <v>-260915450</v>
      </c>
      <c r="AK22" s="52">
        <v>75062313</v>
      </c>
      <c r="AL22" s="45">
        <v>-18338061</v>
      </c>
      <c r="AM22" s="45">
        <v>-23335998</v>
      </c>
      <c r="AN22" s="45">
        <v>1161082671</v>
      </c>
      <c r="AO22" s="45">
        <v>1908090524</v>
      </c>
      <c r="AP22" s="45">
        <v>-451727017</v>
      </c>
      <c r="AQ22" s="45">
        <v>-321635015</v>
      </c>
      <c r="AR22" s="22">
        <v>1731670</v>
      </c>
      <c r="AS22" s="22">
        <v>1731670</v>
      </c>
      <c r="AT22" s="45">
        <v>56207597685</v>
      </c>
      <c r="AU22" s="45">
        <v>61530653773</v>
      </c>
      <c r="AV22" s="22"/>
      <c r="AW22" s="22"/>
      <c r="AX22" s="22"/>
      <c r="AY22" s="22"/>
      <c r="AZ22" s="22">
        <v>-9902000</v>
      </c>
      <c r="BA22" s="22">
        <v>-14597000</v>
      </c>
      <c r="BB22" s="45">
        <v>900330971.99000001</v>
      </c>
      <c r="BC22" s="45">
        <v>1030986362.46</v>
      </c>
      <c r="BD22" s="131"/>
      <c r="BE22" s="131"/>
      <c r="BF22" s="45">
        <v>4887840922</v>
      </c>
      <c r="BG22" s="45">
        <v>3496930073</v>
      </c>
      <c r="BH22" s="45">
        <v>-17482854</v>
      </c>
      <c r="BI22" s="45">
        <v>132769662</v>
      </c>
      <c r="BJ22" s="45">
        <v>93956108</v>
      </c>
      <c r="BK22" s="45">
        <v>269561582</v>
      </c>
      <c r="BL22" s="45">
        <v>-1644500032</v>
      </c>
      <c r="BM22" s="45">
        <v>-1380858091</v>
      </c>
      <c r="BN22" s="45">
        <v>1860930765</v>
      </c>
      <c r="BO22" s="45">
        <v>3151472697</v>
      </c>
      <c r="BP22" s="22">
        <v>365978</v>
      </c>
      <c r="BQ22" s="22">
        <v>372174</v>
      </c>
      <c r="BR22" s="22">
        <v>-3050757</v>
      </c>
      <c r="BS22" s="22">
        <v>-10825576</v>
      </c>
      <c r="BT22" s="58">
        <v>-16435062411</v>
      </c>
      <c r="BU22" s="58">
        <v>-12159563268</v>
      </c>
      <c r="BV22" s="22">
        <v>39691621</v>
      </c>
      <c r="BW22" s="22">
        <v>54949445</v>
      </c>
      <c r="BX22" s="45">
        <v>5919857000</v>
      </c>
      <c r="BY22" s="45">
        <v>5149399280</v>
      </c>
      <c r="BZ22" s="22">
        <v>-38940000</v>
      </c>
      <c r="CA22" s="22">
        <v>-23510585</v>
      </c>
      <c r="CB22" s="45"/>
      <c r="CC22" s="45"/>
    </row>
    <row r="23" spans="1:81" s="63" customFormat="1" ht="24.75" customHeight="1" x14ac:dyDescent="0.2">
      <c r="A23" s="41" t="s">
        <v>56</v>
      </c>
      <c r="B23" s="43">
        <f t="shared" si="18"/>
        <v>-3157081338</v>
      </c>
      <c r="C23" s="43">
        <f t="shared" si="19"/>
        <v>-2661186199</v>
      </c>
      <c r="D23" s="22"/>
      <c r="E23" s="22"/>
      <c r="F23" s="22"/>
      <c r="G23" s="22"/>
      <c r="H23" s="43"/>
      <c r="I23" s="43"/>
      <c r="J23" s="45"/>
      <c r="K23" s="45"/>
      <c r="L23" s="22"/>
      <c r="M23" s="22"/>
      <c r="N23" s="45"/>
      <c r="O23" s="45"/>
      <c r="P23" s="22"/>
      <c r="Q23" s="22"/>
      <c r="R23" s="45">
        <v>-21876313</v>
      </c>
      <c r="S23" s="45"/>
      <c r="T23" s="58"/>
      <c r="U23" s="58"/>
      <c r="V23" s="45"/>
      <c r="W23" s="45"/>
      <c r="X23" s="45">
        <v>110823370</v>
      </c>
      <c r="Y23" s="45">
        <v>110823370</v>
      </c>
      <c r="Z23" s="45">
        <v>-58684000</v>
      </c>
      <c r="AA23" s="45">
        <v>-58684000</v>
      </c>
      <c r="AB23" s="45"/>
      <c r="AC23" s="45"/>
      <c r="AD23" s="45"/>
      <c r="AE23" s="45"/>
      <c r="AF23" s="45">
        <v>-662454393</v>
      </c>
      <c r="AG23" s="45">
        <v>-662454393</v>
      </c>
      <c r="AH23" s="45"/>
      <c r="AI23" s="45"/>
      <c r="AJ23" s="52"/>
      <c r="AK23" s="52"/>
      <c r="AL23" s="45"/>
      <c r="AM23" s="45"/>
      <c r="AN23" s="45"/>
      <c r="AO23" s="45"/>
      <c r="AP23" s="45"/>
      <c r="AQ23" s="45"/>
      <c r="AR23" s="22"/>
      <c r="AS23" s="22"/>
      <c r="AT23" s="45">
        <v>-2442812442</v>
      </c>
      <c r="AU23" s="45">
        <v>-2442812442</v>
      </c>
      <c r="AV23" s="22"/>
      <c r="AW23" s="22"/>
      <c r="AX23" s="22"/>
      <c r="AY23" s="22"/>
      <c r="AZ23" s="22"/>
      <c r="BA23" s="22"/>
      <c r="BB23" s="45">
        <v>377469143</v>
      </c>
      <c r="BC23" s="45">
        <v>377469142</v>
      </c>
      <c r="BD23" s="131"/>
      <c r="BE23" s="131"/>
      <c r="BF23" s="45"/>
      <c r="BG23" s="45"/>
      <c r="BH23" s="45"/>
      <c r="BI23" s="45"/>
      <c r="BJ23" s="45">
        <v>-474527438</v>
      </c>
      <c r="BK23" s="45">
        <v>-474527438</v>
      </c>
      <c r="BL23" s="45">
        <v>106014396</v>
      </c>
      <c r="BM23" s="45">
        <v>106014396</v>
      </c>
      <c r="BN23" s="45">
        <v>205142245</v>
      </c>
      <c r="BO23" s="45">
        <v>205142245</v>
      </c>
      <c r="BP23" s="22">
        <v>27384</v>
      </c>
      <c r="BQ23" s="22"/>
      <c r="BR23" s="22"/>
      <c r="BS23" s="22"/>
      <c r="BT23" s="58"/>
      <c r="BU23" s="58"/>
      <c r="BV23" s="22">
        <v>-34657290</v>
      </c>
      <c r="BW23" s="22">
        <v>-34657290</v>
      </c>
      <c r="BX23" s="45">
        <v>-489476000</v>
      </c>
      <c r="BY23" s="45"/>
      <c r="BZ23" s="22">
        <v>227930000</v>
      </c>
      <c r="CA23" s="22">
        <v>212500211</v>
      </c>
      <c r="CB23" s="45"/>
      <c r="CC23" s="45"/>
    </row>
    <row r="24" spans="1:81" ht="24.75" customHeight="1" x14ac:dyDescent="0.2">
      <c r="A24" s="41" t="s">
        <v>57</v>
      </c>
      <c r="B24" s="43">
        <f t="shared" si="18"/>
        <v>36791095936.449997</v>
      </c>
      <c r="C24" s="43">
        <f t="shared" si="19"/>
        <v>37377208936.449997</v>
      </c>
      <c r="D24" s="22"/>
      <c r="E24" s="22"/>
      <c r="F24" s="22"/>
      <c r="G24" s="22"/>
      <c r="H24" s="45"/>
      <c r="I24" s="43"/>
      <c r="J24" s="45">
        <v>950000000</v>
      </c>
      <c r="K24" s="45">
        <v>950000000</v>
      </c>
      <c r="L24" s="22"/>
      <c r="M24" s="22"/>
      <c r="N24" s="45"/>
      <c r="O24" s="45"/>
      <c r="P24" s="22"/>
      <c r="Q24" s="22"/>
      <c r="R24" s="45"/>
      <c r="S24" s="45"/>
      <c r="T24" s="58"/>
      <c r="U24" s="58"/>
      <c r="V24" s="45"/>
      <c r="W24" s="45"/>
      <c r="X24" s="45"/>
      <c r="Y24" s="45"/>
      <c r="Z24" s="45"/>
      <c r="AA24" s="45"/>
      <c r="AB24" s="45"/>
      <c r="AC24" s="45"/>
      <c r="AD24" s="45">
        <v>194009577.44999999</v>
      </c>
      <c r="AE24" s="45">
        <v>194009577.44999999</v>
      </c>
      <c r="AF24" s="45"/>
      <c r="AG24" s="45"/>
      <c r="AH24" s="45"/>
      <c r="AI24" s="45"/>
      <c r="AJ24" s="52"/>
      <c r="AK24" s="52"/>
      <c r="AL24" s="45"/>
      <c r="AM24" s="45"/>
      <c r="AN24" s="45"/>
      <c r="AO24" s="45"/>
      <c r="AP24" s="45">
        <v>32000</v>
      </c>
      <c r="AQ24" s="45">
        <v>32000</v>
      </c>
      <c r="AR24" s="22"/>
      <c r="AS24" s="22"/>
      <c r="AT24" s="45">
        <v>15235103000</v>
      </c>
      <c r="AU24" s="45">
        <v>15821216000</v>
      </c>
      <c r="AV24" s="22"/>
      <c r="AW24" s="22"/>
      <c r="AX24" s="22"/>
      <c r="AY24" s="22"/>
      <c r="AZ24" s="22"/>
      <c r="BA24" s="22"/>
      <c r="BB24" s="45"/>
      <c r="BC24" s="45"/>
      <c r="BD24" s="131"/>
      <c r="BE24" s="22"/>
      <c r="BF24" s="45">
        <v>1492000000</v>
      </c>
      <c r="BG24" s="45">
        <v>1492000000</v>
      </c>
      <c r="BH24" s="45"/>
      <c r="BI24" s="45"/>
      <c r="BJ24" s="45"/>
      <c r="BK24" s="45"/>
      <c r="BL24" s="45">
        <v>550379360</v>
      </c>
      <c r="BM24" s="45">
        <v>550379360</v>
      </c>
      <c r="BN24" s="45"/>
      <c r="BO24" s="45"/>
      <c r="BP24" s="22"/>
      <c r="BQ24" s="22"/>
      <c r="BR24" s="22"/>
      <c r="BS24" s="22"/>
      <c r="BT24" s="45">
        <v>18369571999</v>
      </c>
      <c r="BU24" s="45">
        <v>18369571999</v>
      </c>
      <c r="BV24" s="22"/>
      <c r="BW24" s="22"/>
      <c r="BX24" s="45"/>
      <c r="BY24" s="45"/>
      <c r="BZ24" s="22"/>
      <c r="CA24" s="22"/>
      <c r="CB24" s="45"/>
      <c r="CC24" s="45"/>
    </row>
    <row r="25" spans="1:81" ht="24.75" customHeight="1" x14ac:dyDescent="0.2">
      <c r="A25" s="41" t="s">
        <v>58</v>
      </c>
      <c r="B25" s="43">
        <f t="shared" si="18"/>
        <v>2401429787</v>
      </c>
      <c r="C25" s="43">
        <f t="shared" si="19"/>
        <v>2416103635</v>
      </c>
      <c r="D25" s="22"/>
      <c r="E25" s="22"/>
      <c r="F25" s="22"/>
      <c r="G25" s="22"/>
      <c r="H25" s="45"/>
      <c r="I25" s="45"/>
      <c r="J25" s="45"/>
      <c r="K25" s="45"/>
      <c r="L25" s="22"/>
      <c r="M25" s="22"/>
      <c r="N25" s="45"/>
      <c r="O25" s="45"/>
      <c r="P25" s="22"/>
      <c r="Q25" s="22"/>
      <c r="R25" s="45"/>
      <c r="S25" s="45"/>
      <c r="T25" s="50"/>
      <c r="U25" s="50"/>
      <c r="V25" s="45"/>
      <c r="W25" s="45"/>
      <c r="X25" s="45"/>
      <c r="Y25" s="45"/>
      <c r="Z25" s="45"/>
      <c r="AA25" s="45"/>
      <c r="AB25" s="45"/>
      <c r="AC25" s="45"/>
      <c r="AD25" s="45"/>
      <c r="AE25" s="45"/>
      <c r="AF25" s="45"/>
      <c r="AG25" s="45"/>
      <c r="AH25" s="45"/>
      <c r="AI25" s="45"/>
      <c r="AJ25" s="45"/>
      <c r="AK25" s="45"/>
      <c r="AL25" s="45">
        <v>38515524</v>
      </c>
      <c r="AM25" s="45">
        <v>46136301</v>
      </c>
      <c r="AN25" s="45"/>
      <c r="AO25" s="45"/>
      <c r="AP25" s="45"/>
      <c r="AQ25" s="45"/>
      <c r="AR25" s="22">
        <v>259151</v>
      </c>
      <c r="AS25" s="22">
        <v>398223</v>
      </c>
      <c r="AT25" s="45"/>
      <c r="AU25" s="45"/>
      <c r="AV25" s="22"/>
      <c r="AW25" s="22"/>
      <c r="AX25" s="22"/>
      <c r="AY25" s="22"/>
      <c r="AZ25" s="22">
        <v>-2745000</v>
      </c>
      <c r="BA25" s="22">
        <v>4169000</v>
      </c>
      <c r="BB25" s="45"/>
      <c r="BC25" s="45"/>
      <c r="BD25" s="131"/>
      <c r="BE25" s="22"/>
      <c r="BF25" s="45"/>
      <c r="BG25" s="45"/>
      <c r="BH25" s="45"/>
      <c r="BI25" s="45"/>
      <c r="BJ25" s="45"/>
      <c r="BK25" s="45"/>
      <c r="BL25" s="45"/>
      <c r="BM25" s="45"/>
      <c r="BN25" s="45">
        <v>2365400112</v>
      </c>
      <c r="BO25" s="45">
        <v>2365400111</v>
      </c>
      <c r="BP25" s="22"/>
      <c r="BQ25" s="22"/>
      <c r="BR25" s="22"/>
      <c r="BS25" s="22"/>
      <c r="BT25" s="45"/>
      <c r="BU25" s="45"/>
      <c r="BW25" s="22"/>
      <c r="BX25" s="45"/>
      <c r="BY25" s="45"/>
      <c r="BZ25" s="22"/>
      <c r="CA25" s="22"/>
      <c r="CB25" s="45"/>
      <c r="CC25" s="45"/>
    </row>
    <row r="26" spans="1:81" ht="24.75" customHeight="1" x14ac:dyDescent="0.2">
      <c r="A26" s="42" t="s">
        <v>59</v>
      </c>
      <c r="B26" s="48">
        <f t="shared" ref="B26:G26" si="20">SUM(B16:B25)</f>
        <v>205014510519.04004</v>
      </c>
      <c r="C26" s="48">
        <f t="shared" si="20"/>
        <v>203498263250.88</v>
      </c>
      <c r="D26" s="135">
        <f t="shared" si="20"/>
        <v>1576608</v>
      </c>
      <c r="E26" s="135">
        <f t="shared" si="20"/>
        <v>1320939</v>
      </c>
      <c r="F26" s="160">
        <f t="shared" si="20"/>
        <v>1555393</v>
      </c>
      <c r="G26" s="160">
        <f t="shared" si="20"/>
        <v>1562625</v>
      </c>
      <c r="H26" s="48">
        <f t="shared" ref="H26:M26" si="21">SUM(H16:H25)</f>
        <v>1298573947</v>
      </c>
      <c r="I26" s="48">
        <f t="shared" si="21"/>
        <v>1049678132</v>
      </c>
      <c r="J26" s="48">
        <f t="shared" si="21"/>
        <v>3258059568</v>
      </c>
      <c r="K26" s="48">
        <f t="shared" si="21"/>
        <v>3274616929</v>
      </c>
      <c r="L26" s="135">
        <f t="shared" si="21"/>
        <v>80567076</v>
      </c>
      <c r="M26" s="135">
        <f t="shared" si="21"/>
        <v>80567076</v>
      </c>
      <c r="N26" s="48">
        <f>SUM(N16:N25)</f>
        <v>1219736000</v>
      </c>
      <c r="O26" s="48">
        <f>SUM(O16:O25)</f>
        <v>1251100000</v>
      </c>
      <c r="P26" s="160">
        <f>SUM(P16:P25)</f>
        <v>0</v>
      </c>
      <c r="Q26" s="160">
        <f>SUM(Q16:Q25)</f>
        <v>0</v>
      </c>
      <c r="R26" s="49">
        <f>SUM(R15:R25)</f>
        <v>1060091681</v>
      </c>
      <c r="S26" s="49">
        <f>SUM(S15:S25)</f>
        <v>1096316184</v>
      </c>
      <c r="T26" s="49">
        <f>SUM(T16:T25)</f>
        <v>2524468679</v>
      </c>
      <c r="U26" s="49">
        <f>SUM(U16:U25)</f>
        <v>2552799076</v>
      </c>
      <c r="V26" s="180">
        <f>SUM(V16:V25)</f>
        <v>0</v>
      </c>
      <c r="W26" s="180">
        <f>SUM(W16:W25)</f>
        <v>0</v>
      </c>
      <c r="X26" s="49">
        <f t="shared" ref="X26:AE26" si="22">SUM(X16:X25)</f>
        <v>1512247000</v>
      </c>
      <c r="Y26" s="49">
        <f t="shared" si="22"/>
        <v>1628966850</v>
      </c>
      <c r="Z26" s="49">
        <f t="shared" si="22"/>
        <v>2856766503</v>
      </c>
      <c r="AA26" s="49">
        <f t="shared" si="22"/>
        <v>2871361828</v>
      </c>
      <c r="AB26" s="49">
        <f t="shared" si="22"/>
        <v>591308113</v>
      </c>
      <c r="AC26" s="49">
        <f t="shared" si="22"/>
        <v>634292000</v>
      </c>
      <c r="AD26" s="49">
        <f>SUM(AD16:AD25)</f>
        <v>3437955652.5799999</v>
      </c>
      <c r="AE26" s="49">
        <f t="shared" si="22"/>
        <v>3626095328.1099997</v>
      </c>
      <c r="AF26" s="49">
        <f>SUM(AF16:AF25)</f>
        <v>4617703873</v>
      </c>
      <c r="AG26" s="49">
        <f>SUM(AG16:AG25)</f>
        <v>5728449197</v>
      </c>
      <c r="AH26" s="49">
        <f>SUM(AH16:AH25)</f>
        <v>1355222979</v>
      </c>
      <c r="AI26" s="49">
        <f>SUM(AI16:AI25)</f>
        <v>1404611634</v>
      </c>
      <c r="AJ26" s="49">
        <f t="shared" ref="AJ26:AQ26" si="23">SUM(AJ16:AJ25)</f>
        <v>1125152313</v>
      </c>
      <c r="AK26" s="49">
        <f t="shared" si="23"/>
        <v>5724354340</v>
      </c>
      <c r="AL26" s="49">
        <f t="shared" si="23"/>
        <v>31670689</v>
      </c>
      <c r="AM26" s="49">
        <f t="shared" si="23"/>
        <v>37123844</v>
      </c>
      <c r="AN26" s="49">
        <f t="shared" si="23"/>
        <v>4939931041</v>
      </c>
      <c r="AO26" s="49">
        <f t="shared" si="23"/>
        <v>5806693651</v>
      </c>
      <c r="AP26" s="49">
        <f t="shared" si="23"/>
        <v>1038161093</v>
      </c>
      <c r="AQ26" s="49">
        <f t="shared" si="23"/>
        <v>1334120973</v>
      </c>
      <c r="AR26" s="135">
        <f t="shared" ref="AR26:AW26" si="24">SUM(AR16:AR25)</f>
        <v>8120804</v>
      </c>
      <c r="AS26" s="135">
        <f t="shared" si="24"/>
        <v>8519027</v>
      </c>
      <c r="AT26" s="48">
        <f t="shared" si="24"/>
        <v>77107268441</v>
      </c>
      <c r="AU26" s="48">
        <f t="shared" si="24"/>
        <v>90087366554</v>
      </c>
      <c r="AV26" s="160">
        <f t="shared" si="24"/>
        <v>0</v>
      </c>
      <c r="AW26" s="160">
        <f t="shared" si="24"/>
        <v>0</v>
      </c>
      <c r="AX26" s="135">
        <f t="shared" ref="AX26:BC26" si="25">SUM(AX16:AX25)</f>
        <v>0</v>
      </c>
      <c r="AY26" s="135">
        <f t="shared" si="25"/>
        <v>0</v>
      </c>
      <c r="AZ26" s="135">
        <f t="shared" si="25"/>
        <v>480000</v>
      </c>
      <c r="BA26" s="135">
        <f t="shared" si="25"/>
        <v>2873000</v>
      </c>
      <c r="BB26" s="48">
        <f t="shared" si="25"/>
        <v>1908207945.46</v>
      </c>
      <c r="BC26" s="48">
        <f t="shared" si="25"/>
        <v>2022344759.77</v>
      </c>
      <c r="BD26" s="160">
        <f>SUM(BD16:BD25)</f>
        <v>0</v>
      </c>
      <c r="BE26" s="160">
        <f>SUM(BE16:BE25)</f>
        <v>0</v>
      </c>
      <c r="BF26" s="48">
        <f t="shared" ref="BF26:CC26" si="26">SUM(BF16:BF25)</f>
        <v>8741979770</v>
      </c>
      <c r="BG26" s="48">
        <f t="shared" si="26"/>
        <v>8866019184</v>
      </c>
      <c r="BH26" s="48">
        <f t="shared" si="26"/>
        <v>932769662</v>
      </c>
      <c r="BI26" s="48">
        <f t="shared" si="26"/>
        <v>1057511612</v>
      </c>
      <c r="BJ26" s="48">
        <f t="shared" si="26"/>
        <v>2235561637</v>
      </c>
      <c r="BK26" s="48">
        <f t="shared" si="26"/>
        <v>2346848785</v>
      </c>
      <c r="BL26" s="48">
        <f t="shared" si="26"/>
        <v>3633970482</v>
      </c>
      <c r="BM26" s="48">
        <f t="shared" si="26"/>
        <v>4031417559</v>
      </c>
      <c r="BN26" s="48">
        <f>SUM(BN16:BN25)</f>
        <v>7786011254</v>
      </c>
      <c r="BO26" s="48">
        <f t="shared" si="26"/>
        <v>9592054092</v>
      </c>
      <c r="BP26" s="135">
        <f t="shared" si="26"/>
        <v>608362</v>
      </c>
      <c r="BQ26" s="135">
        <f t="shared" si="26"/>
        <v>632809</v>
      </c>
      <c r="BR26" s="135">
        <f t="shared" si="26"/>
        <v>8921577</v>
      </c>
      <c r="BS26" s="135">
        <f t="shared" si="26"/>
        <v>1146758</v>
      </c>
      <c r="BT26" s="48">
        <f>SUM(BT16:BT25)</f>
        <v>9109805473</v>
      </c>
      <c r="BU26" s="48">
        <f>SUM(BU16:BU25)</f>
        <v>4780554290</v>
      </c>
      <c r="BV26" s="135">
        <f>SUM(BV16:BV25)</f>
        <v>1709664207</v>
      </c>
      <c r="BW26" s="135">
        <f t="shared" si="26"/>
        <v>1714127161</v>
      </c>
      <c r="BX26" s="48">
        <f>SUM(BX16:BX25)</f>
        <v>5930381000</v>
      </c>
      <c r="BY26" s="48">
        <f t="shared" si="26"/>
        <v>5565978763</v>
      </c>
      <c r="BZ26" s="135">
        <f t="shared" si="26"/>
        <v>368990000</v>
      </c>
      <c r="CA26" s="135">
        <f t="shared" si="26"/>
        <v>397300626</v>
      </c>
      <c r="CB26" s="48">
        <f t="shared" si="26"/>
        <v>54581021696</v>
      </c>
      <c r="CC26" s="48">
        <f t="shared" si="26"/>
        <v>34919537665</v>
      </c>
    </row>
    <row r="27" spans="1:81" ht="24.75" customHeight="1" x14ac:dyDescent="0.2">
      <c r="A27" s="42" t="s">
        <v>60</v>
      </c>
      <c r="B27" s="49">
        <f t="shared" ref="B27:G27" si="27">+B14+B26</f>
        <v>652605185852.90002</v>
      </c>
      <c r="C27" s="49">
        <f t="shared" si="27"/>
        <v>704626687272.83008</v>
      </c>
      <c r="D27" s="136">
        <f t="shared" si="27"/>
        <v>1685519</v>
      </c>
      <c r="E27" s="136">
        <f t="shared" si="27"/>
        <v>1967798</v>
      </c>
      <c r="F27" s="160">
        <f t="shared" si="27"/>
        <v>2187276</v>
      </c>
      <c r="G27" s="160">
        <f t="shared" si="27"/>
        <v>2218181</v>
      </c>
      <c r="H27" s="48">
        <f t="shared" ref="H27:M27" si="28">+H14+H26</f>
        <v>4251553018</v>
      </c>
      <c r="I27" s="48">
        <f t="shared" si="28"/>
        <v>4533127767</v>
      </c>
      <c r="J27" s="48">
        <f t="shared" si="28"/>
        <v>3709780690</v>
      </c>
      <c r="K27" s="48">
        <f t="shared" si="28"/>
        <v>4050474879</v>
      </c>
      <c r="L27" s="135">
        <f t="shared" si="28"/>
        <v>92441392</v>
      </c>
      <c r="M27" s="135">
        <f t="shared" si="28"/>
        <v>92441392</v>
      </c>
      <c r="N27" s="48">
        <f t="shared" ref="N27:W27" si="29">+N14+N26</f>
        <v>1682482000</v>
      </c>
      <c r="O27" s="48">
        <f t="shared" si="29"/>
        <v>1665133000</v>
      </c>
      <c r="P27" s="160">
        <f t="shared" si="29"/>
        <v>0</v>
      </c>
      <c r="Q27" s="160">
        <f t="shared" si="29"/>
        <v>0</v>
      </c>
      <c r="R27" s="49">
        <f t="shared" si="29"/>
        <v>1168198581</v>
      </c>
      <c r="S27" s="49">
        <f t="shared" si="29"/>
        <v>1187101486</v>
      </c>
      <c r="T27" s="49">
        <f t="shared" si="29"/>
        <v>3176754000</v>
      </c>
      <c r="U27" s="49">
        <f t="shared" si="29"/>
        <v>3282585085</v>
      </c>
      <c r="V27" s="180">
        <f t="shared" si="29"/>
        <v>0</v>
      </c>
      <c r="W27" s="180">
        <f t="shared" si="29"/>
        <v>0</v>
      </c>
      <c r="X27" s="49">
        <f t="shared" ref="X27:AE27" si="30">+X14+X26</f>
        <v>1837851000</v>
      </c>
      <c r="Y27" s="49">
        <f t="shared" si="30"/>
        <v>1768472073</v>
      </c>
      <c r="Z27" s="49">
        <f t="shared" si="30"/>
        <v>3580434614</v>
      </c>
      <c r="AA27" s="49">
        <f t="shared" si="30"/>
        <v>4101776298</v>
      </c>
      <c r="AB27" s="49">
        <f t="shared" si="30"/>
        <v>1113627446</v>
      </c>
      <c r="AC27" s="49">
        <f>+AC14+AC26</f>
        <v>1047279000</v>
      </c>
      <c r="AD27" s="49">
        <f>+AD14+AD26</f>
        <v>6269948754</v>
      </c>
      <c r="AE27" s="49">
        <f t="shared" si="30"/>
        <v>6109282375.1199999</v>
      </c>
      <c r="AF27" s="49">
        <f>+AF14+AF26</f>
        <v>6836884532</v>
      </c>
      <c r="AG27" s="49">
        <f>+AG14+AG26</f>
        <v>8691747124</v>
      </c>
      <c r="AH27" s="49">
        <f>+AH14+AH26</f>
        <v>2556261000</v>
      </c>
      <c r="AI27" s="49">
        <f>+AI14+AI26</f>
        <v>1770385738</v>
      </c>
      <c r="AJ27" s="49">
        <f t="shared" ref="AJ27:AQ27" si="31">+AJ14+AJ26</f>
        <v>2454630292</v>
      </c>
      <c r="AK27" s="49">
        <f t="shared" si="31"/>
        <v>13895397579</v>
      </c>
      <c r="AL27" s="49">
        <f t="shared" si="31"/>
        <v>104215089</v>
      </c>
      <c r="AM27" s="49">
        <f t="shared" si="31"/>
        <v>116828092</v>
      </c>
      <c r="AN27" s="49">
        <f t="shared" si="31"/>
        <v>6413981324</v>
      </c>
      <c r="AO27" s="49">
        <f t="shared" si="31"/>
        <v>8917248299</v>
      </c>
      <c r="AP27" s="49">
        <f t="shared" si="31"/>
        <v>1672513941</v>
      </c>
      <c r="AQ27" s="49">
        <f t="shared" si="31"/>
        <v>2122103360</v>
      </c>
      <c r="AR27" s="136">
        <f t="shared" ref="AR27:AW27" si="32">+AR14+AR26</f>
        <v>10875379</v>
      </c>
      <c r="AS27" s="136">
        <f t="shared" si="32"/>
        <v>10322026</v>
      </c>
      <c r="AT27" s="48">
        <f t="shared" si="32"/>
        <v>136924569750</v>
      </c>
      <c r="AU27" s="48">
        <f t="shared" si="32"/>
        <v>145037060722</v>
      </c>
      <c r="AV27" s="160">
        <f t="shared" si="32"/>
        <v>0</v>
      </c>
      <c r="AW27" s="160">
        <f t="shared" si="32"/>
        <v>0</v>
      </c>
      <c r="AX27" s="135">
        <f t="shared" ref="AX27:BE27" si="33">+AX14+AX26</f>
        <v>0</v>
      </c>
      <c r="AY27" s="135">
        <f t="shared" si="33"/>
        <v>0</v>
      </c>
      <c r="AZ27" s="135">
        <f t="shared" si="33"/>
        <v>165378000</v>
      </c>
      <c r="BA27" s="135">
        <f t="shared" si="33"/>
        <v>172607000</v>
      </c>
      <c r="BB27" s="48">
        <f t="shared" si="33"/>
        <v>2985791678.9000001</v>
      </c>
      <c r="BC27" s="48">
        <f t="shared" si="33"/>
        <v>2570379182.71</v>
      </c>
      <c r="BD27" s="160">
        <f t="shared" si="33"/>
        <v>0</v>
      </c>
      <c r="BE27" s="160">
        <f t="shared" si="33"/>
        <v>0</v>
      </c>
      <c r="BF27" s="48">
        <f t="shared" ref="BF27:CC27" si="34">+BF14+BF26</f>
        <v>21737334629</v>
      </c>
      <c r="BG27" s="48">
        <f t="shared" si="34"/>
        <v>23609598369</v>
      </c>
      <c r="BH27" s="48">
        <f t="shared" si="34"/>
        <v>1076220244</v>
      </c>
      <c r="BI27" s="48">
        <f t="shared" si="34"/>
        <v>1339783575</v>
      </c>
      <c r="BJ27" s="48">
        <f t="shared" si="34"/>
        <v>3482362792</v>
      </c>
      <c r="BK27" s="48">
        <f t="shared" si="34"/>
        <v>4441447430</v>
      </c>
      <c r="BL27" s="48">
        <f t="shared" si="34"/>
        <v>6556692849</v>
      </c>
      <c r="BM27" s="48">
        <f t="shared" si="34"/>
        <v>6683875925</v>
      </c>
      <c r="BN27" s="48">
        <f t="shared" si="34"/>
        <v>15420782383</v>
      </c>
      <c r="BO27" s="48">
        <f t="shared" si="34"/>
        <v>19020783089</v>
      </c>
      <c r="BP27" s="135">
        <f>+BP14+BP26</f>
        <v>757549</v>
      </c>
      <c r="BQ27" s="135">
        <f t="shared" si="34"/>
        <v>899956</v>
      </c>
      <c r="BR27" s="135">
        <f t="shared" si="34"/>
        <v>33560327</v>
      </c>
      <c r="BS27" s="135">
        <f t="shared" si="34"/>
        <v>33028680</v>
      </c>
      <c r="BT27" s="48">
        <f>+BT14+BT26</f>
        <v>23355662902</v>
      </c>
      <c r="BU27" s="48">
        <f>+BU14+BU26</f>
        <v>23463487844</v>
      </c>
      <c r="BV27" s="135">
        <f>+BV14+BV26</f>
        <v>2436329017</v>
      </c>
      <c r="BW27" s="135">
        <f t="shared" si="34"/>
        <v>2628105798</v>
      </c>
      <c r="BX27" s="48">
        <f>+BX14+BX26</f>
        <v>12873680000</v>
      </c>
      <c r="BY27" s="48">
        <f t="shared" si="34"/>
        <v>8669607264</v>
      </c>
      <c r="BZ27" s="135">
        <f>+BZ14+BZ26</f>
        <v>375090000</v>
      </c>
      <c r="CA27" s="135">
        <f t="shared" si="34"/>
        <v>414281266</v>
      </c>
      <c r="CB27" s="48">
        <f t="shared" si="34"/>
        <v>378244667885</v>
      </c>
      <c r="CC27" s="48">
        <f t="shared" si="34"/>
        <v>403175849620</v>
      </c>
    </row>
    <row r="28" spans="1:81" s="63" customFormat="1" ht="24.75" customHeight="1" x14ac:dyDescent="0.2">
      <c r="A28" s="38" t="s">
        <v>61</v>
      </c>
      <c r="B28" s="43">
        <f t="shared" ref="B28:C30" si="35">+D28+F28+H28+J28+L28+N28+P28+R28+T28+V28+X28+Z28+AB28+AD28+AF28+AH28+AJ28+AL28+AN28+AP28+AR28+AT28+AV28+AX28+AZ28+BB28+BD28+BF28+BH28+BJ28+BL28+BN28+BP28+BR28+BT28+BV28+BX28+BZ28+CB28</f>
        <v>299815674664.67004</v>
      </c>
      <c r="C28" s="43">
        <f t="shared" si="35"/>
        <v>439015049043</v>
      </c>
      <c r="D28" s="22">
        <v>1230565</v>
      </c>
      <c r="E28" s="22">
        <v>40404</v>
      </c>
      <c r="F28" s="22">
        <v>657476</v>
      </c>
      <c r="G28" s="22">
        <v>1491255</v>
      </c>
      <c r="H28" s="45">
        <v>4405316726</v>
      </c>
      <c r="I28" s="45">
        <v>2930021701</v>
      </c>
      <c r="J28" s="47">
        <v>817531168</v>
      </c>
      <c r="K28" s="47">
        <v>1054745683</v>
      </c>
      <c r="N28" s="47">
        <v>441235000</v>
      </c>
      <c r="O28" s="47">
        <v>479743000</v>
      </c>
      <c r="R28" s="45">
        <f>+(-135777000)+191451000</f>
        <v>55674000</v>
      </c>
      <c r="S28" s="45">
        <f>57469140+94647880</f>
        <v>152117020</v>
      </c>
      <c r="T28" s="47">
        <v>1203456885</v>
      </c>
      <c r="U28" s="47">
        <v>1041783924</v>
      </c>
      <c r="V28" s="47"/>
      <c r="W28" s="47"/>
      <c r="X28" s="47">
        <v>3501116000</v>
      </c>
      <c r="Y28" s="47">
        <v>4469839000</v>
      </c>
      <c r="Z28" s="45">
        <v>2650199084</v>
      </c>
      <c r="AA28" s="45">
        <v>2962836988</v>
      </c>
      <c r="AB28" s="45">
        <v>264893337</v>
      </c>
      <c r="AC28" s="45">
        <v>768299000</v>
      </c>
      <c r="AD28" s="45"/>
      <c r="AE28" s="45"/>
      <c r="AF28" s="45">
        <v>3389336787</v>
      </c>
      <c r="AG28" s="45">
        <v>5172220725</v>
      </c>
      <c r="AH28" s="45">
        <v>774145000</v>
      </c>
      <c r="AI28" s="45">
        <v>4926970350</v>
      </c>
      <c r="AJ28" s="52">
        <v>7944764209</v>
      </c>
      <c r="AK28" s="52">
        <v>19489678482</v>
      </c>
      <c r="AL28" s="45">
        <v>27302948</v>
      </c>
      <c r="AM28" s="45">
        <v>38876689</v>
      </c>
      <c r="AN28" s="45">
        <v>3590764948</v>
      </c>
      <c r="AO28" s="45">
        <v>5732239949</v>
      </c>
      <c r="AP28" s="45">
        <v>7149907254</v>
      </c>
      <c r="AQ28" s="45">
        <v>8328595966</v>
      </c>
      <c r="AR28" s="22">
        <v>4364641</v>
      </c>
      <c r="AS28" s="22">
        <v>6479549</v>
      </c>
      <c r="AT28" s="45">
        <v>139829936847</v>
      </c>
      <c r="AU28" s="45">
        <v>225785970784</v>
      </c>
      <c r="AZ28" s="22">
        <v>48789000</v>
      </c>
      <c r="BA28" s="22">
        <v>56261000</v>
      </c>
      <c r="BB28" s="45">
        <v>2915182842.6700001</v>
      </c>
      <c r="BC28" s="45">
        <v>2483523123</v>
      </c>
      <c r="BF28" s="45">
        <v>12503273875</v>
      </c>
      <c r="BG28" s="45">
        <v>21271421598</v>
      </c>
      <c r="BH28" s="45">
        <v>2783747581</v>
      </c>
      <c r="BI28" s="45">
        <v>4513531603</v>
      </c>
      <c r="BJ28" s="45">
        <v>6881691299</v>
      </c>
      <c r="BK28" s="45">
        <v>6722187787</v>
      </c>
      <c r="BL28" s="45">
        <f>8641347690-469647450</f>
        <v>8171700240</v>
      </c>
      <c r="BM28" s="45">
        <f>38139943569-27132858000</f>
        <v>11007085569</v>
      </c>
      <c r="BN28" s="45">
        <v>18857296774</v>
      </c>
      <c r="BO28" s="45">
        <v>24944935446</v>
      </c>
      <c r="BP28" s="22">
        <v>203250</v>
      </c>
      <c r="BQ28" s="22">
        <v>652202</v>
      </c>
      <c r="BR28" s="22">
        <v>32772445</v>
      </c>
      <c r="BS28" s="22">
        <v>48772381</v>
      </c>
      <c r="BT28" s="45">
        <v>12511686326</v>
      </c>
      <c r="BU28" s="45">
        <v>10458935867</v>
      </c>
      <c r="BV28" s="22">
        <f>33915000+153553212</f>
        <v>187468212</v>
      </c>
      <c r="BW28" s="22">
        <f>231008403+84000000</f>
        <v>315008403</v>
      </c>
      <c r="BX28" s="45">
        <v>3725997000</v>
      </c>
      <c r="BY28" s="45">
        <v>10443306338</v>
      </c>
      <c r="BZ28" s="22"/>
      <c r="CA28" s="22">
        <v>412070000</v>
      </c>
      <c r="CB28" s="58">
        <v>55144032945</v>
      </c>
      <c r="CC28" s="58">
        <v>62995407257</v>
      </c>
    </row>
    <row r="29" spans="1:81" ht="24.75" customHeight="1" x14ac:dyDescent="0.2">
      <c r="A29" s="38" t="s">
        <v>62</v>
      </c>
      <c r="B29" s="43">
        <f t="shared" si="35"/>
        <v>250368507940</v>
      </c>
      <c r="C29" s="43">
        <f t="shared" si="35"/>
        <v>352154237157</v>
      </c>
      <c r="D29" s="22">
        <v>811499</v>
      </c>
      <c r="E29" s="22">
        <v>24216</v>
      </c>
      <c r="F29" s="22">
        <f>26732+446914</f>
        <v>473646</v>
      </c>
      <c r="G29" s="22">
        <f>49400+881192</f>
        <v>930592</v>
      </c>
      <c r="H29" s="45">
        <v>3771730482</v>
      </c>
      <c r="I29" s="45">
        <v>3489149276</v>
      </c>
      <c r="J29" s="47">
        <v>660017808</v>
      </c>
      <c r="K29" s="47">
        <v>756169082</v>
      </c>
      <c r="L29" s="63">
        <v>7120632</v>
      </c>
      <c r="M29" s="63">
        <v>7120632</v>
      </c>
      <c r="N29" s="47">
        <v>0</v>
      </c>
      <c r="O29" s="47">
        <v>0</v>
      </c>
      <c r="P29" s="63"/>
      <c r="Q29" s="63"/>
      <c r="R29" s="45">
        <v>926000</v>
      </c>
      <c r="S29" s="45">
        <v>1089461</v>
      </c>
      <c r="T29" s="47">
        <v>573037446</v>
      </c>
      <c r="U29" s="47">
        <v>646735557</v>
      </c>
      <c r="V29" s="47"/>
      <c r="W29" s="47"/>
      <c r="X29" s="45">
        <v>1960624960</v>
      </c>
      <c r="Y29" s="45">
        <v>2696383980</v>
      </c>
      <c r="Z29" s="45">
        <v>1717377137</v>
      </c>
      <c r="AA29" s="45">
        <v>2073186335</v>
      </c>
      <c r="AB29" s="45">
        <v>84202429</v>
      </c>
      <c r="AC29" s="45">
        <v>315296000</v>
      </c>
      <c r="AD29" s="45"/>
      <c r="AE29" s="45"/>
      <c r="AF29" s="45">
        <v>2367326052</v>
      </c>
      <c r="AG29" s="45">
        <v>4111095623</v>
      </c>
      <c r="AH29" s="45">
        <v>397068712</v>
      </c>
      <c r="AI29" s="45">
        <v>3561595560</v>
      </c>
      <c r="AJ29" s="52"/>
      <c r="AK29" s="52"/>
      <c r="AL29" s="45">
        <v>24377664</v>
      </c>
      <c r="AM29" s="45">
        <v>33787130</v>
      </c>
      <c r="AN29" s="45">
        <v>3116708593</v>
      </c>
      <c r="AO29" s="45">
        <v>5214410673</v>
      </c>
      <c r="AP29" s="45">
        <v>5854318105</v>
      </c>
      <c r="AQ29" s="45">
        <v>6621823409</v>
      </c>
      <c r="AR29" s="22">
        <v>1961030</v>
      </c>
      <c r="AS29" s="22">
        <v>4320759</v>
      </c>
      <c r="AT29" s="45">
        <v>122812495664</v>
      </c>
      <c r="AU29" s="45">
        <v>199477810312</v>
      </c>
      <c r="AV29" s="63"/>
      <c r="AW29" s="63"/>
      <c r="AX29" s="63"/>
      <c r="AY29" s="63"/>
      <c r="AZ29" s="22">
        <v>34230000</v>
      </c>
      <c r="BA29" s="22">
        <v>39618000</v>
      </c>
      <c r="BB29" s="45">
        <v>0</v>
      </c>
      <c r="BC29" s="45">
        <v>0</v>
      </c>
      <c r="BD29" s="63"/>
      <c r="BE29" s="63"/>
      <c r="BF29" s="45">
        <v>9929753195</v>
      </c>
      <c r="BG29" s="45">
        <v>15736800898</v>
      </c>
      <c r="BH29" s="45">
        <v>1760884413</v>
      </c>
      <c r="BI29" s="45">
        <v>3762761721</v>
      </c>
      <c r="BJ29" s="45">
        <v>4336630012</v>
      </c>
      <c r="BK29" s="45">
        <v>4693792838</v>
      </c>
      <c r="BL29" s="45">
        <v>6525068468</v>
      </c>
      <c r="BM29" s="45">
        <v>8878093334</v>
      </c>
      <c r="BN29" s="45">
        <v>13973386726</v>
      </c>
      <c r="BO29" s="45">
        <v>17497390806</v>
      </c>
      <c r="BP29" s="22">
        <v>145400</v>
      </c>
      <c r="BQ29" s="22">
        <v>292919</v>
      </c>
      <c r="BR29" s="22">
        <v>27342241</v>
      </c>
      <c r="BS29" s="22">
        <v>54574319</v>
      </c>
      <c r="BT29" s="45">
        <v>13869703645</v>
      </c>
      <c r="BU29" s="45">
        <v>10635386001</v>
      </c>
      <c r="BV29" s="22">
        <v>12000000</v>
      </c>
      <c r="BW29" s="22">
        <v>14151000</v>
      </c>
      <c r="BX29" s="45"/>
      <c r="BY29" s="45">
        <v>1372454377</v>
      </c>
      <c r="BZ29" s="22"/>
      <c r="CA29" s="22"/>
      <c r="CB29" s="58">
        <v>56548785981</v>
      </c>
      <c r="CC29" s="58">
        <v>60457992347</v>
      </c>
    </row>
    <row r="30" spans="1:81" ht="24.75" customHeight="1" x14ac:dyDescent="0.2">
      <c r="A30" s="36" t="s">
        <v>63</v>
      </c>
      <c r="B30" s="43">
        <f t="shared" si="35"/>
        <v>24133083598.59</v>
      </c>
      <c r="C30" s="43">
        <f t="shared" si="35"/>
        <v>45636988761.419998</v>
      </c>
      <c r="D30" s="22">
        <f>371581+10111</f>
        <v>381692</v>
      </c>
      <c r="E30" s="63">
        <v>67530</v>
      </c>
      <c r="F30" s="63"/>
      <c r="G30" s="63"/>
      <c r="H30" s="47"/>
      <c r="I30" s="47"/>
      <c r="J30" s="45">
        <f>140250890+6962907</f>
        <v>147213797</v>
      </c>
      <c r="K30" s="45">
        <f>268776535+1820950+618532</f>
        <v>271216017</v>
      </c>
      <c r="L30" s="63">
        <v>13632892</v>
      </c>
      <c r="M30" s="63">
        <v>13632892</v>
      </c>
      <c r="N30" s="47">
        <v>400479000</v>
      </c>
      <c r="O30" s="47">
        <v>438691000</v>
      </c>
      <c r="P30" s="63"/>
      <c r="Q30" s="63"/>
      <c r="R30" s="45">
        <v>8950000</v>
      </c>
      <c r="S30" s="45">
        <v>95297554</v>
      </c>
      <c r="T30" s="45">
        <v>726718951</v>
      </c>
      <c r="U30" s="45">
        <v>295384958</v>
      </c>
      <c r="V30" s="50"/>
      <c r="W30" s="50"/>
      <c r="X30" s="45">
        <f>138328000+1260401760+43946000</f>
        <v>1442675760</v>
      </c>
      <c r="Y30" s="45">
        <f>178018000+1415868020+62849150</f>
        <v>1656735170</v>
      </c>
      <c r="Z30" s="45">
        <v>752919840</v>
      </c>
      <c r="AA30" s="45">
        <v>750738661</v>
      </c>
      <c r="AB30" s="45">
        <v>160220000</v>
      </c>
      <c r="AC30" s="45">
        <v>321727000</v>
      </c>
      <c r="AD30" s="45"/>
      <c r="AE30" s="45"/>
      <c r="AF30" s="45">
        <v>1268217860</v>
      </c>
      <c r="AG30" s="45">
        <v>1588439489</v>
      </c>
      <c r="AH30" s="45">
        <v>184206158</v>
      </c>
      <c r="AI30" s="45">
        <v>1186691069</v>
      </c>
      <c r="AJ30" s="52">
        <f>7399956254+16898500</f>
        <v>7416854754</v>
      </c>
      <c r="AK30" s="52">
        <f>17903853860+23554000</f>
        <v>17927407860</v>
      </c>
      <c r="AL30" s="45">
        <v>4295191</v>
      </c>
      <c r="AM30" s="45">
        <v>5200707</v>
      </c>
      <c r="AN30" s="45">
        <v>277073696</v>
      </c>
      <c r="AO30" s="45">
        <v>430438009</v>
      </c>
      <c r="AP30" s="45">
        <f>854918378+94853335+71505215</f>
        <v>1021276928</v>
      </c>
      <c r="AQ30" s="45">
        <f>1003668411+102363864+56559129</f>
        <v>1162591404</v>
      </c>
      <c r="AR30" s="22">
        <v>1890808</v>
      </c>
      <c r="AS30" s="22">
        <v>3066247</v>
      </c>
      <c r="AT30" s="45"/>
      <c r="AU30" s="45"/>
      <c r="AV30" s="63"/>
      <c r="AW30" s="63"/>
      <c r="AX30" s="63"/>
      <c r="AY30" s="63"/>
      <c r="AZ30" s="22">
        <f>7108000+35078000</f>
        <v>42186000</v>
      </c>
      <c r="BA30" s="22">
        <f>7097000+51011000</f>
        <v>58108000</v>
      </c>
      <c r="BB30" s="45">
        <f>2675263227.2+4847954.48+13247014.91</f>
        <v>2693358196.5899997</v>
      </c>
      <c r="BC30" s="45">
        <f>2255538791.59+18000231.43+17776490.4</f>
        <v>2291315513.4200001</v>
      </c>
      <c r="BD30" s="63"/>
      <c r="BE30" s="63"/>
      <c r="BF30" s="45">
        <v>995818524</v>
      </c>
      <c r="BG30" s="45">
        <v>1174709007</v>
      </c>
      <c r="BH30" s="45"/>
      <c r="BI30" s="45"/>
      <c r="BJ30" s="45"/>
      <c r="BK30" s="45"/>
      <c r="BL30" s="45"/>
      <c r="BM30" s="45"/>
      <c r="BN30" s="45">
        <v>2522307879</v>
      </c>
      <c r="BO30" s="45">
        <v>4343063591</v>
      </c>
      <c r="BP30" s="22">
        <v>73251</v>
      </c>
      <c r="BQ30" s="22">
        <v>321672</v>
      </c>
      <c r="BR30" s="22"/>
      <c r="BS30" s="22"/>
      <c r="BT30" s="45">
        <v>1224044256</v>
      </c>
      <c r="BU30" s="45">
        <v>1740746896</v>
      </c>
      <c r="BV30" s="22">
        <f>66873880+78710285</f>
        <v>145584165</v>
      </c>
      <c r="BW30" s="22">
        <f>124637548+165029831</f>
        <v>289667379</v>
      </c>
      <c r="BX30" s="45">
        <v>2682704000</v>
      </c>
      <c r="BY30" s="45">
        <v>9217497136</v>
      </c>
      <c r="BZ30" s="22"/>
      <c r="CA30" s="22">
        <v>374234000</v>
      </c>
      <c r="CB30" s="58"/>
      <c r="CC30" s="58"/>
    </row>
    <row r="31" spans="1:81" ht="24.75" customHeight="1" x14ac:dyDescent="0.2">
      <c r="A31" s="42" t="s">
        <v>64</v>
      </c>
      <c r="B31" s="48">
        <f t="shared" ref="B31:G31" si="36">+B28-B29-B30</f>
        <v>25314083126.080044</v>
      </c>
      <c r="C31" s="48">
        <f t="shared" si="36"/>
        <v>41223823124.580002</v>
      </c>
      <c r="D31" s="135">
        <f t="shared" si="36"/>
        <v>37374</v>
      </c>
      <c r="E31" s="135">
        <f t="shared" si="36"/>
        <v>-51342</v>
      </c>
      <c r="F31" s="135">
        <f t="shared" si="36"/>
        <v>183830</v>
      </c>
      <c r="G31" s="135">
        <f t="shared" si="36"/>
        <v>560663</v>
      </c>
      <c r="H31" s="48">
        <f t="shared" ref="H31:O31" si="37">+H28-H29-H30</f>
        <v>633586244</v>
      </c>
      <c r="I31" s="48">
        <f t="shared" si="37"/>
        <v>-559127575</v>
      </c>
      <c r="J31" s="48">
        <f t="shared" si="37"/>
        <v>10299563</v>
      </c>
      <c r="K31" s="48">
        <f t="shared" si="37"/>
        <v>27360584</v>
      </c>
      <c r="L31" s="135">
        <f t="shared" si="37"/>
        <v>-20753524</v>
      </c>
      <c r="M31" s="135">
        <f t="shared" si="37"/>
        <v>-20753524</v>
      </c>
      <c r="N31" s="48">
        <f t="shared" si="37"/>
        <v>40756000</v>
      </c>
      <c r="O31" s="48">
        <f t="shared" si="37"/>
        <v>41052000</v>
      </c>
      <c r="P31" s="135">
        <f t="shared" ref="P31:W31" si="38">+P28-P29-P30</f>
        <v>0</v>
      </c>
      <c r="Q31" s="135">
        <f t="shared" si="38"/>
        <v>0</v>
      </c>
      <c r="R31" s="48">
        <f t="shared" si="38"/>
        <v>45798000</v>
      </c>
      <c r="S31" s="48">
        <f t="shared" si="38"/>
        <v>55730005</v>
      </c>
      <c r="T31" s="48">
        <f t="shared" si="38"/>
        <v>-96299512</v>
      </c>
      <c r="U31" s="48">
        <f t="shared" si="38"/>
        <v>99663409</v>
      </c>
      <c r="V31" s="48">
        <f t="shared" si="38"/>
        <v>0</v>
      </c>
      <c r="W31" s="48">
        <f t="shared" si="38"/>
        <v>0</v>
      </c>
      <c r="X31" s="48">
        <f t="shared" ref="X31:AE31" si="39">+X28-X29-X30</f>
        <v>97815280</v>
      </c>
      <c r="Y31" s="48">
        <f t="shared" si="39"/>
        <v>116719850</v>
      </c>
      <c r="Z31" s="48">
        <f t="shared" si="39"/>
        <v>179902107</v>
      </c>
      <c r="AA31" s="48">
        <f t="shared" si="39"/>
        <v>138911992</v>
      </c>
      <c r="AB31" s="48">
        <f t="shared" si="39"/>
        <v>20470908</v>
      </c>
      <c r="AC31" s="48">
        <f t="shared" si="39"/>
        <v>131276000</v>
      </c>
      <c r="AD31" s="48">
        <f t="shared" si="39"/>
        <v>0</v>
      </c>
      <c r="AE31" s="48">
        <f t="shared" si="39"/>
        <v>0</v>
      </c>
      <c r="AF31" s="48">
        <f>+AF28-AF29-AF30</f>
        <v>-246207125</v>
      </c>
      <c r="AG31" s="48">
        <f>+AG28-AG29-AG30</f>
        <v>-527314387</v>
      </c>
      <c r="AH31" s="48">
        <f>+AH28-AH29-AH30</f>
        <v>192870130</v>
      </c>
      <c r="AI31" s="48">
        <f>+AI28-AI29-AI30</f>
        <v>178683721</v>
      </c>
      <c r="AJ31" s="48">
        <f t="shared" ref="AJ31:AQ31" si="40">+AJ28-AJ29-AJ30</f>
        <v>527909455</v>
      </c>
      <c r="AK31" s="48">
        <f t="shared" si="40"/>
        <v>1562270622</v>
      </c>
      <c r="AL31" s="48">
        <f t="shared" si="40"/>
        <v>-1369907</v>
      </c>
      <c r="AM31" s="48">
        <f t="shared" si="40"/>
        <v>-111148</v>
      </c>
      <c r="AN31" s="48">
        <f t="shared" si="40"/>
        <v>196982659</v>
      </c>
      <c r="AO31" s="48">
        <f t="shared" si="40"/>
        <v>87391267</v>
      </c>
      <c r="AP31" s="48">
        <f t="shared" si="40"/>
        <v>274312221</v>
      </c>
      <c r="AQ31" s="48">
        <f t="shared" si="40"/>
        <v>544181153</v>
      </c>
      <c r="AR31" s="135">
        <f t="shared" ref="AR31:BA31" si="41">+AR28-AR29-AR30</f>
        <v>512803</v>
      </c>
      <c r="AS31" s="135">
        <f t="shared" si="41"/>
        <v>-907457</v>
      </c>
      <c r="AT31" s="48">
        <f t="shared" si="41"/>
        <v>17017441183</v>
      </c>
      <c r="AU31" s="48">
        <f t="shared" si="41"/>
        <v>26308160472</v>
      </c>
      <c r="AV31" s="135">
        <f t="shared" si="41"/>
        <v>0</v>
      </c>
      <c r="AW31" s="135">
        <f t="shared" si="41"/>
        <v>0</v>
      </c>
      <c r="AX31" s="135">
        <f t="shared" si="41"/>
        <v>0</v>
      </c>
      <c r="AY31" s="135">
        <f t="shared" si="41"/>
        <v>0</v>
      </c>
      <c r="AZ31" s="135">
        <f t="shared" si="41"/>
        <v>-27627000</v>
      </c>
      <c r="BA31" s="135">
        <f t="shared" si="41"/>
        <v>-41465000</v>
      </c>
      <c r="BB31" s="48">
        <f>+BB28-BB33-BB30</f>
        <v>221824646.0800004</v>
      </c>
      <c r="BC31" s="48">
        <f>+BC28-BC29-BC30</f>
        <v>192207609.57999992</v>
      </c>
      <c r="BD31" s="135">
        <f>+BD28-BD29-BD30</f>
        <v>0</v>
      </c>
      <c r="BE31" s="135">
        <f>+BE28-BE29-BE30</f>
        <v>0</v>
      </c>
      <c r="BF31" s="48">
        <f t="shared" ref="BF31:CC31" si="42">+BF28-BF29-BF30</f>
        <v>1577702156</v>
      </c>
      <c r="BG31" s="48">
        <f t="shared" si="42"/>
        <v>4359911693</v>
      </c>
      <c r="BH31" s="48">
        <f t="shared" si="42"/>
        <v>1022863168</v>
      </c>
      <c r="BI31" s="48">
        <f t="shared" si="42"/>
        <v>750769882</v>
      </c>
      <c r="BJ31" s="48">
        <f t="shared" si="42"/>
        <v>2545061287</v>
      </c>
      <c r="BK31" s="48">
        <f t="shared" si="42"/>
        <v>2028394949</v>
      </c>
      <c r="BL31" s="48">
        <f t="shared" si="42"/>
        <v>1646631772</v>
      </c>
      <c r="BM31" s="48">
        <f t="shared" si="42"/>
        <v>2128992235</v>
      </c>
      <c r="BN31" s="48">
        <f t="shared" si="42"/>
        <v>2361602169</v>
      </c>
      <c r="BO31" s="48">
        <f t="shared" si="42"/>
        <v>3104481049</v>
      </c>
      <c r="BP31" s="135">
        <f t="shared" si="42"/>
        <v>-15401</v>
      </c>
      <c r="BQ31" s="135">
        <f t="shared" si="42"/>
        <v>37611</v>
      </c>
      <c r="BR31" s="135">
        <f t="shared" si="42"/>
        <v>5430204</v>
      </c>
      <c r="BS31" s="135">
        <f t="shared" si="42"/>
        <v>-5801938</v>
      </c>
      <c r="BT31" s="48">
        <f t="shared" si="42"/>
        <v>-2582061575</v>
      </c>
      <c r="BU31" s="48">
        <f t="shared" si="42"/>
        <v>-1917197030</v>
      </c>
      <c r="BV31" s="135">
        <f t="shared" si="42"/>
        <v>29884047</v>
      </c>
      <c r="BW31" s="135">
        <f t="shared" si="42"/>
        <v>11190024</v>
      </c>
      <c r="BX31" s="48">
        <v>-3440899000</v>
      </c>
      <c r="BY31" s="48">
        <f t="shared" si="42"/>
        <v>-146645175</v>
      </c>
      <c r="BZ31" s="135">
        <v>22363000</v>
      </c>
      <c r="CA31" s="135">
        <f t="shared" si="42"/>
        <v>37836000</v>
      </c>
      <c r="CB31" s="48">
        <f t="shared" si="42"/>
        <v>-1404753036</v>
      </c>
      <c r="CC31" s="48">
        <f t="shared" si="42"/>
        <v>2537414910</v>
      </c>
    </row>
    <row r="32" spans="1:81" ht="24.75" customHeight="1" x14ac:dyDescent="0.2">
      <c r="A32" s="36" t="s">
        <v>65</v>
      </c>
      <c r="B32" s="43">
        <f t="shared" ref="B32:C35" si="43">+D32+F32+H32+J32+L32+N32+P32+R32+T32+V32+X32+Z32+AB32+AD32+AF32+AH32+AJ32+AL32+AN32+AP32+AR32+AT32+AV32+AX32+AZ32+BB32+BD32+BF32+BH32+BJ32+BL32+BN32+BP32+BR32+BT32+BV32+BX32+BZ32+CB32</f>
        <v>31767201837.419998</v>
      </c>
      <c r="C32" s="43">
        <f t="shared" si="43"/>
        <v>10712532493.73</v>
      </c>
      <c r="D32" s="22">
        <v>15203</v>
      </c>
      <c r="E32" s="63">
        <v>0</v>
      </c>
      <c r="F32" s="63">
        <v>8466</v>
      </c>
      <c r="G32" s="126">
        <v>8390</v>
      </c>
      <c r="H32" s="47">
        <v>128628274</v>
      </c>
      <c r="I32" s="47">
        <v>1573239802</v>
      </c>
      <c r="J32" s="50">
        <f>10597525+513478</f>
        <v>11111003</v>
      </c>
      <c r="K32" s="50">
        <f>5723467+724122</f>
        <v>6447589</v>
      </c>
      <c r="L32" s="63"/>
      <c r="M32" s="63"/>
      <c r="N32" s="47"/>
      <c r="O32" s="47"/>
      <c r="P32" s="63"/>
      <c r="Q32" s="63"/>
      <c r="R32" s="45"/>
      <c r="S32" s="45"/>
      <c r="T32" s="50">
        <v>181431967</v>
      </c>
      <c r="U32" s="50">
        <v>16254076</v>
      </c>
      <c r="V32" s="50"/>
      <c r="W32" s="50"/>
      <c r="X32" s="45"/>
      <c r="Y32" s="45"/>
      <c r="Z32" s="45">
        <v>231560444</v>
      </c>
      <c r="AA32" s="45">
        <v>96660738</v>
      </c>
      <c r="AB32" s="45">
        <v>0</v>
      </c>
      <c r="AC32" s="45">
        <v>1526000</v>
      </c>
      <c r="AD32" s="45"/>
      <c r="AE32" s="45"/>
      <c r="AF32" s="45">
        <f>1370185878+116181286+1275411</f>
        <v>1487642575</v>
      </c>
      <c r="AG32" s="45">
        <f>1636477805+202036078+415868</f>
        <v>1838929751</v>
      </c>
      <c r="AH32" s="45">
        <v>5446000</v>
      </c>
      <c r="AI32" s="45">
        <v>29384015</v>
      </c>
      <c r="AJ32" s="45">
        <v>40419660</v>
      </c>
      <c r="AK32" s="45">
        <v>57702297</v>
      </c>
      <c r="AL32" s="45">
        <v>446298</v>
      </c>
      <c r="AM32" s="45">
        <v>1677562</v>
      </c>
      <c r="AN32" s="45">
        <v>1212882939</v>
      </c>
      <c r="AO32" s="45">
        <v>1840263739</v>
      </c>
      <c r="AP32" s="181"/>
      <c r="AQ32" s="45"/>
      <c r="AR32" s="22">
        <f>239+225581</f>
        <v>225820</v>
      </c>
      <c r="AS32" s="22">
        <f>10306+2073826</f>
        <v>2084132</v>
      </c>
      <c r="AT32" s="45">
        <f>10183874+2309132293</f>
        <v>2319316167</v>
      </c>
      <c r="AU32" s="45">
        <f>292283+4440000215</f>
        <v>4440292498</v>
      </c>
      <c r="AV32" s="63"/>
      <c r="AW32" s="63"/>
      <c r="AX32" s="63"/>
      <c r="AY32" s="63"/>
      <c r="AZ32" s="22">
        <f>3428000+17648000</f>
        <v>21076000</v>
      </c>
      <c r="BA32" s="22">
        <f>6477000+26690000</f>
        <v>33167000</v>
      </c>
      <c r="BB32" s="45">
        <f>13694342.26+3734181.16</f>
        <v>17428523.420000002</v>
      </c>
      <c r="BC32" s="45">
        <f>13244835.34+1723990.39</f>
        <v>14968825.73</v>
      </c>
      <c r="BD32" s="63"/>
      <c r="BE32" s="63"/>
      <c r="BF32" s="45">
        <v>414122768</v>
      </c>
      <c r="BG32" s="45">
        <v>1301676464</v>
      </c>
      <c r="BH32" s="45">
        <f>58573661+103953</f>
        <v>58677614</v>
      </c>
      <c r="BI32" s="45">
        <f>22457030+2855956</f>
        <v>25312986</v>
      </c>
      <c r="BJ32" s="45">
        <v>80631605</v>
      </c>
      <c r="BK32" s="45">
        <v>-199003465</v>
      </c>
      <c r="BL32" s="45">
        <f>185542642+118643481</f>
        <v>304186123</v>
      </c>
      <c r="BM32" s="45">
        <f>12208794+331002415</f>
        <v>343211209</v>
      </c>
      <c r="BN32" s="45">
        <v>1286123</v>
      </c>
      <c r="BO32" s="45">
        <v>2465647</v>
      </c>
      <c r="BP32" s="22"/>
      <c r="BQ32" s="22"/>
      <c r="BR32" s="22">
        <f>193364+147731</f>
        <v>341095</v>
      </c>
      <c r="BS32" s="22">
        <f>5686677+203800</f>
        <v>5890477</v>
      </c>
      <c r="BT32" s="58">
        <v>9153787164</v>
      </c>
      <c r="BU32" s="47">
        <v>909695680</v>
      </c>
      <c r="BV32" s="22"/>
      <c r="BW32" s="63">
        <v>2231</v>
      </c>
      <c r="BX32" s="45"/>
      <c r="BY32" s="45">
        <v>91887751</v>
      </c>
      <c r="BZ32" s="63"/>
      <c r="CA32" s="22">
        <v>5720000</v>
      </c>
      <c r="CB32" s="45">
        <f>12002237633+25751228262+(-21656935889)</f>
        <v>16096530006</v>
      </c>
      <c r="CC32" s="45">
        <f>19107456420+5682365064+(-26516754385)</f>
        <v>-1726932901</v>
      </c>
    </row>
    <row r="33" spans="1:91" ht="24.75" customHeight="1" x14ac:dyDescent="0.2">
      <c r="A33" s="36" t="s">
        <v>66</v>
      </c>
      <c r="B33" s="43">
        <f t="shared" si="43"/>
        <v>42278176485</v>
      </c>
      <c r="C33" s="43">
        <f t="shared" si="43"/>
        <v>42554366071</v>
      </c>
      <c r="D33" s="22">
        <v>28572</v>
      </c>
      <c r="E33" s="63">
        <v>0</v>
      </c>
      <c r="F33" s="22">
        <f>443011+23568+59371</f>
        <v>525950</v>
      </c>
      <c r="G33" s="63">
        <f>393144+99576+14666</f>
        <v>507386</v>
      </c>
      <c r="H33" s="45">
        <f>7772383+387346807+56061125+7933562</f>
        <v>459113877</v>
      </c>
      <c r="I33" s="45">
        <f>9611519+799073325+3993630+15655816</f>
        <v>828334290</v>
      </c>
      <c r="J33" s="45">
        <v>989635</v>
      </c>
      <c r="K33" s="45">
        <v>4950518</v>
      </c>
      <c r="L33" s="22"/>
      <c r="M33" s="22"/>
      <c r="N33" s="45"/>
      <c r="O33" s="45"/>
      <c r="P33" s="22"/>
      <c r="Q33" s="22"/>
      <c r="R33" s="45"/>
      <c r="S33" s="45"/>
      <c r="T33" s="45">
        <v>74492000</v>
      </c>
      <c r="U33" s="45">
        <v>85446561</v>
      </c>
      <c r="V33" s="45"/>
      <c r="W33" s="45"/>
      <c r="X33" s="45"/>
      <c r="Y33" s="45"/>
      <c r="Z33" s="45">
        <v>213046598</v>
      </c>
      <c r="AA33" s="45">
        <v>178959404</v>
      </c>
      <c r="AB33" s="45">
        <v>4540731</v>
      </c>
      <c r="AC33" s="45">
        <v>55370000</v>
      </c>
      <c r="AD33" s="45"/>
      <c r="AE33" s="45"/>
      <c r="AF33" s="45">
        <v>165027666</v>
      </c>
      <c r="AG33" s="45">
        <v>216742877</v>
      </c>
      <c r="AH33" s="45">
        <v>863000</v>
      </c>
      <c r="AI33" s="45">
        <v>93654060</v>
      </c>
      <c r="AJ33" s="45">
        <v>75450470</v>
      </c>
      <c r="AK33" s="45">
        <v>261840050</v>
      </c>
      <c r="AL33" s="45">
        <f>1302410+3114416</f>
        <v>4416826</v>
      </c>
      <c r="AM33" s="45">
        <f>1617542+4487867</f>
        <v>6105409</v>
      </c>
      <c r="AN33" s="45">
        <v>64691266</v>
      </c>
      <c r="AO33" s="45">
        <v>133290886</v>
      </c>
      <c r="AP33" s="45">
        <v>52533493</v>
      </c>
      <c r="AQ33" s="45">
        <v>88858262</v>
      </c>
      <c r="AR33" s="22">
        <f>288877+29275</f>
        <v>318152</v>
      </c>
      <c r="AS33" s="22">
        <f>456493+193411</f>
        <v>649904</v>
      </c>
      <c r="AT33" s="45">
        <f>2358351594+77058516+7504170699+2949324617</f>
        <v>12888905426</v>
      </c>
      <c r="AU33" s="45">
        <f>3321390655+2011843+8114125417+901386150</f>
        <v>12338914065</v>
      </c>
      <c r="AV33" s="22"/>
      <c r="AW33" s="22"/>
      <c r="AX33" s="22"/>
      <c r="AY33" s="22"/>
      <c r="AZ33" s="22"/>
      <c r="BA33" s="22"/>
      <c r="BB33" s="45"/>
      <c r="BC33" s="45"/>
      <c r="BD33" s="22"/>
      <c r="BE33" s="22"/>
      <c r="BF33" s="45">
        <v>1491975678</v>
      </c>
      <c r="BG33" s="45">
        <v>2261795343</v>
      </c>
      <c r="BH33" s="45">
        <f>289198615+616982624+6150280+3812536</f>
        <v>916144055</v>
      </c>
      <c r="BI33" s="45">
        <f>171809671+368963015+18102717+13894515</f>
        <v>572769918</v>
      </c>
      <c r="BJ33" s="45">
        <f>2129361127+197208289</f>
        <v>2326569416</v>
      </c>
      <c r="BK33" s="45">
        <f>1315192869+278966465</f>
        <v>1594159334</v>
      </c>
      <c r="BL33" s="45">
        <f>1379760062+4500000+16987665+168634454</f>
        <v>1569882181</v>
      </c>
      <c r="BM33" s="45">
        <f>1621824661+16686976+125676423</f>
        <v>1764188060</v>
      </c>
      <c r="BN33" s="45">
        <v>239104425</v>
      </c>
      <c r="BO33" s="45">
        <v>287530255</v>
      </c>
      <c r="BP33" s="22"/>
      <c r="BQ33" s="22"/>
      <c r="BR33" s="22">
        <f>3823353+566870+2272845+1243557</f>
        <v>7906625</v>
      </c>
      <c r="BS33" s="22">
        <f>5167896+761424+2995476+1677875</f>
        <v>10602671</v>
      </c>
      <c r="BT33" s="179">
        <v>2296226447</v>
      </c>
      <c r="BU33" s="45">
        <v>3321749832</v>
      </c>
      <c r="BV33" s="22">
        <f>3402852+3976371</f>
        <v>7379223</v>
      </c>
      <c r="BW33" s="22">
        <f>1307257+59045</f>
        <v>1366302</v>
      </c>
      <c r="BX33" s="45"/>
      <c r="BY33" s="45">
        <v>112723072</v>
      </c>
      <c r="BZ33" s="22"/>
      <c r="CA33" s="22"/>
      <c r="CB33" s="45">
        <f>18812759507+605285266</f>
        <v>19418044773</v>
      </c>
      <c r="CC33" s="45">
        <f>17666989387+666868225</f>
        <v>18333857612</v>
      </c>
    </row>
    <row r="34" spans="1:91" ht="24.75" customHeight="1" x14ac:dyDescent="0.2">
      <c r="A34" s="34" t="s">
        <v>67</v>
      </c>
      <c r="B34" s="46">
        <f t="shared" si="43"/>
        <v>13759839858.5</v>
      </c>
      <c r="C34" s="46">
        <f t="shared" si="43"/>
        <v>9381989547.3100014</v>
      </c>
      <c r="D34" s="63">
        <f>+D31+D32-D33</f>
        <v>24005</v>
      </c>
      <c r="E34" s="63">
        <f>+E31+E32-E33</f>
        <v>-51342</v>
      </c>
      <c r="F34" s="182">
        <f t="shared" ref="F34:M34" si="44">+F31+F32-F33</f>
        <v>-333654</v>
      </c>
      <c r="G34" s="182">
        <f t="shared" si="44"/>
        <v>61667</v>
      </c>
      <c r="H34" s="47">
        <f t="shared" si="44"/>
        <v>303100641</v>
      </c>
      <c r="I34" s="47">
        <f t="shared" si="44"/>
        <v>185777937</v>
      </c>
      <c r="J34" s="47">
        <f t="shared" si="44"/>
        <v>20420931</v>
      </c>
      <c r="K34" s="47">
        <f t="shared" si="44"/>
        <v>28857655</v>
      </c>
      <c r="L34" s="63">
        <f t="shared" si="44"/>
        <v>-20753524</v>
      </c>
      <c r="M34" s="63">
        <f t="shared" si="44"/>
        <v>-20753524</v>
      </c>
      <c r="N34" s="47">
        <f>+N31+N32-N33</f>
        <v>40756000</v>
      </c>
      <c r="O34" s="47">
        <f>+O31+O32-O33</f>
        <v>41052000</v>
      </c>
      <c r="P34" s="63"/>
      <c r="Q34" s="63"/>
      <c r="R34" s="47">
        <f>+R31+R32-R33</f>
        <v>45798000</v>
      </c>
      <c r="S34" s="47">
        <f>+S31+S32-S33</f>
        <v>55730005</v>
      </c>
      <c r="T34" s="47">
        <f>+T31+T32-T33</f>
        <v>10640455</v>
      </c>
      <c r="U34" s="47">
        <f>+U31+U32-U33</f>
        <v>30470924</v>
      </c>
      <c r="V34" s="47"/>
      <c r="W34" s="47"/>
      <c r="X34" s="47">
        <f t="shared" ref="X34:AC34" si="45">+X31+X32-X33</f>
        <v>97815280</v>
      </c>
      <c r="Y34" s="47">
        <f t="shared" si="45"/>
        <v>116719850</v>
      </c>
      <c r="Z34" s="47">
        <f t="shared" si="45"/>
        <v>198415953</v>
      </c>
      <c r="AA34" s="47">
        <f t="shared" si="45"/>
        <v>56613326</v>
      </c>
      <c r="AB34" s="47">
        <f t="shared" si="45"/>
        <v>15930177</v>
      </c>
      <c r="AC34" s="47">
        <f t="shared" si="45"/>
        <v>77432000</v>
      </c>
      <c r="AD34" s="45"/>
      <c r="AE34" s="45"/>
      <c r="AF34" s="47">
        <f>+AF31+AF32-AF33</f>
        <v>1076407784</v>
      </c>
      <c r="AG34" s="47">
        <f>+AG31+AG32-AG33</f>
        <v>1094872487</v>
      </c>
      <c r="AH34" s="47">
        <f>+AH31+AH32-AH33</f>
        <v>197453130</v>
      </c>
      <c r="AI34" s="47">
        <f>+AI31+AI32-AI33</f>
        <v>114413676</v>
      </c>
      <c r="AJ34" s="47">
        <f t="shared" ref="AJ34:AQ34" si="46">+AJ31+AJ32-AJ33</f>
        <v>492878645</v>
      </c>
      <c r="AK34" s="47">
        <f t="shared" si="46"/>
        <v>1358132869</v>
      </c>
      <c r="AL34" s="47">
        <f t="shared" si="46"/>
        <v>-5340435</v>
      </c>
      <c r="AM34" s="47">
        <f t="shared" si="46"/>
        <v>-4538995</v>
      </c>
      <c r="AN34" s="47">
        <f t="shared" si="46"/>
        <v>1345174332</v>
      </c>
      <c r="AO34" s="47">
        <f t="shared" si="46"/>
        <v>1794364120</v>
      </c>
      <c r="AP34" s="47">
        <f t="shared" si="46"/>
        <v>221778728</v>
      </c>
      <c r="AQ34" s="47">
        <f t="shared" si="46"/>
        <v>455322891</v>
      </c>
      <c r="AR34" s="63">
        <f>+AR31+AR32-AR33</f>
        <v>420471</v>
      </c>
      <c r="AS34" s="63">
        <f>+AS31+AS32-AS33</f>
        <v>526771</v>
      </c>
      <c r="AT34" s="47">
        <f>+AT31+AT32-AT33</f>
        <v>6447851924</v>
      </c>
      <c r="AU34" s="47">
        <f>+AU31+AU32-AU33</f>
        <v>18409538905</v>
      </c>
      <c r="AV34" s="63"/>
      <c r="AW34" s="63"/>
      <c r="AX34" s="63">
        <f t="shared" ref="AX34:BC34" si="47">+AX31+AX32-AX33</f>
        <v>0</v>
      </c>
      <c r="AY34" s="63">
        <f t="shared" si="47"/>
        <v>0</v>
      </c>
      <c r="AZ34" s="63">
        <f t="shared" si="47"/>
        <v>-6551000</v>
      </c>
      <c r="BA34" s="63">
        <f t="shared" si="47"/>
        <v>-8298000</v>
      </c>
      <c r="BB34" s="47">
        <f t="shared" si="47"/>
        <v>239253169.50000042</v>
      </c>
      <c r="BC34" s="47">
        <f t="shared" si="47"/>
        <v>207176435.30999991</v>
      </c>
      <c r="BD34" s="63"/>
      <c r="BE34" s="63"/>
      <c r="BF34" s="47">
        <f t="shared" ref="BF34:BM34" si="48">+BF31+BF32-BF33</f>
        <v>499849246</v>
      </c>
      <c r="BG34" s="47">
        <f t="shared" si="48"/>
        <v>3399792814</v>
      </c>
      <c r="BH34" s="47">
        <f t="shared" si="48"/>
        <v>165396727</v>
      </c>
      <c r="BI34" s="47">
        <f t="shared" si="48"/>
        <v>203312950</v>
      </c>
      <c r="BJ34" s="47">
        <f t="shared" si="48"/>
        <v>299123476</v>
      </c>
      <c r="BK34" s="47">
        <f t="shared" si="48"/>
        <v>235232150</v>
      </c>
      <c r="BL34" s="47">
        <f t="shared" si="48"/>
        <v>380935714</v>
      </c>
      <c r="BM34" s="47">
        <f t="shared" si="48"/>
        <v>708015384</v>
      </c>
      <c r="BN34" s="47">
        <f t="shared" ref="BN34:BU34" si="49">+BN31+BN32-BN33</f>
        <v>2123783867</v>
      </c>
      <c r="BO34" s="47">
        <f t="shared" si="49"/>
        <v>2819416441</v>
      </c>
      <c r="BP34" s="63">
        <v>8979</v>
      </c>
      <c r="BQ34" s="63">
        <f t="shared" si="49"/>
        <v>37611</v>
      </c>
      <c r="BR34" s="63">
        <f t="shared" si="49"/>
        <v>-2135326</v>
      </c>
      <c r="BS34" s="63">
        <f t="shared" si="49"/>
        <v>-10514132</v>
      </c>
      <c r="BT34" s="47">
        <f t="shared" si="49"/>
        <v>4275499142</v>
      </c>
      <c r="BU34" s="47">
        <f t="shared" si="49"/>
        <v>-4329251182</v>
      </c>
      <c r="BV34" s="63">
        <f>+BV31+BV32-BV33</f>
        <v>22504824</v>
      </c>
      <c r="BW34" s="63">
        <f>+BW31+BW32-BW33</f>
        <v>9825953</v>
      </c>
      <c r="BX34" s="47"/>
      <c r="BY34" s="47">
        <f>+BY31+BY32-BY33</f>
        <v>-167480496</v>
      </c>
      <c r="BZ34" s="63"/>
      <c r="CA34" s="63">
        <f>+CA31+CA32-CA33</f>
        <v>43556000</v>
      </c>
      <c r="CB34" s="47">
        <f>+CB31+CB32-CB33</f>
        <v>-4726267803</v>
      </c>
      <c r="CC34" s="47">
        <f>+CC31+CC32-CC33</f>
        <v>-17523375603</v>
      </c>
    </row>
    <row r="35" spans="1:91" ht="24.75" customHeight="1" x14ac:dyDescent="0.2">
      <c r="A35" s="36" t="s">
        <v>68</v>
      </c>
      <c r="B35" s="43">
        <f t="shared" si="43"/>
        <v>3884554442</v>
      </c>
      <c r="C35" s="43">
        <f t="shared" si="43"/>
        <v>9140723983</v>
      </c>
      <c r="D35" s="22">
        <v>7441</v>
      </c>
      <c r="E35" s="22">
        <v>0</v>
      </c>
      <c r="F35" s="22"/>
      <c r="G35" s="22">
        <f>27190+27244</f>
        <v>54434</v>
      </c>
      <c r="H35" s="45">
        <v>116699209</v>
      </c>
      <c r="I35" s="45">
        <v>65022278</v>
      </c>
      <c r="J35" s="45">
        <v>4732977</v>
      </c>
      <c r="K35" s="45">
        <v>12300295</v>
      </c>
      <c r="L35" s="22"/>
      <c r="M35" s="22">
        <v>0</v>
      </c>
      <c r="N35" s="45">
        <v>0</v>
      </c>
      <c r="O35" s="45">
        <v>0</v>
      </c>
      <c r="P35" s="22"/>
      <c r="Q35" s="22"/>
      <c r="R35" s="45">
        <v>14197380</v>
      </c>
      <c r="S35" s="45">
        <v>19505502</v>
      </c>
      <c r="T35" s="45">
        <v>4137955</v>
      </c>
      <c r="U35" s="45">
        <v>2818000</v>
      </c>
      <c r="V35" s="45"/>
      <c r="W35" s="45"/>
      <c r="X35" s="45">
        <v>9781528</v>
      </c>
      <c r="Y35" s="45">
        <v>11671985</v>
      </c>
      <c r="Z35" s="45">
        <v>-34035103</v>
      </c>
      <c r="AA35" s="45">
        <v>-42018000</v>
      </c>
      <c r="AB35" s="45">
        <v>-6216000</v>
      </c>
      <c r="AC35" s="45">
        <v>-34448000</v>
      </c>
      <c r="AD35" s="45"/>
      <c r="AE35" s="45"/>
      <c r="AF35" s="45">
        <f>+(-133409000)+63999007</f>
        <v>-69409993</v>
      </c>
      <c r="AG35" s="45">
        <f>+(-171693000)+187565836</f>
        <v>15872836</v>
      </c>
      <c r="AH35" s="45">
        <v>31555000</v>
      </c>
      <c r="AI35" s="45">
        <v>65025000</v>
      </c>
      <c r="AJ35" s="45">
        <v>-156900882</v>
      </c>
      <c r="AK35" s="45">
        <v>-492230235</v>
      </c>
      <c r="AL35" s="45">
        <f>342498+1269445</f>
        <v>1611943</v>
      </c>
      <c r="AM35" s="45">
        <f>2371373+7620777</f>
        <v>9992150</v>
      </c>
      <c r="AN35" s="45">
        <f>135000000-195249876</f>
        <v>-60249876</v>
      </c>
      <c r="AO35" s="45">
        <f>225000000+184723980</f>
        <v>409723980</v>
      </c>
      <c r="AP35" s="45">
        <v>91686725</v>
      </c>
      <c r="AQ35" s="45">
        <v>159363011</v>
      </c>
      <c r="AR35" s="22">
        <v>161320</v>
      </c>
      <c r="AS35" s="22">
        <v>128548</v>
      </c>
      <c r="AT35" s="45">
        <f>986262000+138533836</f>
        <v>1124795836</v>
      </c>
      <c r="AU35" s="45">
        <f>4197678970+1817874824</f>
        <v>6015553794</v>
      </c>
      <c r="AV35" s="22"/>
      <c r="AW35" s="22"/>
      <c r="AX35" s="22"/>
      <c r="AY35" s="22"/>
      <c r="AZ35" s="22">
        <v>1856000</v>
      </c>
      <c r="BA35" s="22">
        <v>3777000</v>
      </c>
      <c r="BB35" s="45">
        <v>94080513</v>
      </c>
      <c r="BC35" s="45">
        <v>93039620</v>
      </c>
      <c r="BD35" s="22"/>
      <c r="BE35" s="22"/>
      <c r="BF35" s="45">
        <f>176890000+(-286129904)</f>
        <v>-109239904</v>
      </c>
      <c r="BG35" s="45">
        <f>633275000+642478400</f>
        <v>1275753400</v>
      </c>
      <c r="BH35" s="45">
        <v>54406000</v>
      </c>
      <c r="BI35" s="45">
        <v>78571000</v>
      </c>
      <c r="BJ35" s="45">
        <v>123518000</v>
      </c>
      <c r="BK35" s="45">
        <v>123945000</v>
      </c>
      <c r="BL35" s="45">
        <v>117293773</v>
      </c>
      <c r="BM35" s="45">
        <v>310568306</v>
      </c>
      <c r="BN35" s="45">
        <v>689848387</v>
      </c>
      <c r="BO35" s="45">
        <v>1013373603</v>
      </c>
      <c r="BP35" s="22">
        <v>2783</v>
      </c>
      <c r="BQ35" s="22">
        <v>13164</v>
      </c>
      <c r="BR35" s="22">
        <v>638682</v>
      </c>
      <c r="BS35" s="22">
        <v>2739312</v>
      </c>
      <c r="BT35" s="60"/>
      <c r="BU35" s="45"/>
      <c r="BV35" s="22">
        <v>7247000</v>
      </c>
      <c r="BW35" s="22">
        <v>5363000</v>
      </c>
      <c r="BX35" s="45"/>
      <c r="BY35" s="45"/>
      <c r="BZ35" s="22"/>
      <c r="CA35" s="22">
        <v>15245000</v>
      </c>
      <c r="CB35" s="45">
        <v>1832347748</v>
      </c>
      <c r="CC35" s="45"/>
    </row>
    <row r="36" spans="1:91" s="63" customFormat="1" ht="24.75" customHeight="1" x14ac:dyDescent="0.2">
      <c r="A36" s="42" t="s">
        <v>69</v>
      </c>
      <c r="B36" s="48">
        <f t="shared" ref="B36:G36" si="50">+B34-B35</f>
        <v>9875285416.5</v>
      </c>
      <c r="C36" s="48">
        <f t="shared" si="50"/>
        <v>241265564.31000137</v>
      </c>
      <c r="D36" s="135">
        <f t="shared" si="50"/>
        <v>16564</v>
      </c>
      <c r="E36" s="135">
        <f t="shared" si="50"/>
        <v>-51342</v>
      </c>
      <c r="F36" s="135">
        <f t="shared" si="50"/>
        <v>-333654</v>
      </c>
      <c r="G36" s="135">
        <f t="shared" si="50"/>
        <v>7233</v>
      </c>
      <c r="H36" s="48">
        <f t="shared" ref="H36:Q36" si="51">+H34-H35</f>
        <v>186401432</v>
      </c>
      <c r="I36" s="48">
        <f t="shared" si="51"/>
        <v>120755659</v>
      </c>
      <c r="J36" s="48">
        <f>+J34-J35</f>
        <v>15687954</v>
      </c>
      <c r="K36" s="48">
        <f t="shared" si="51"/>
        <v>16557360</v>
      </c>
      <c r="L36" s="135">
        <f t="shared" si="51"/>
        <v>-20753524</v>
      </c>
      <c r="M36" s="135">
        <f t="shared" si="51"/>
        <v>-20753524</v>
      </c>
      <c r="N36" s="48">
        <f t="shared" si="51"/>
        <v>40756000</v>
      </c>
      <c r="O36" s="48">
        <f t="shared" si="51"/>
        <v>41052000</v>
      </c>
      <c r="P36" s="135">
        <f t="shared" si="51"/>
        <v>0</v>
      </c>
      <c r="Q36" s="135">
        <f t="shared" si="51"/>
        <v>0</v>
      </c>
      <c r="R36" s="48">
        <f t="shared" ref="R36:Y36" si="52">+R34-R35</f>
        <v>31600620</v>
      </c>
      <c r="S36" s="48">
        <f t="shared" si="52"/>
        <v>36224503</v>
      </c>
      <c r="T36" s="48">
        <f t="shared" si="52"/>
        <v>6502500</v>
      </c>
      <c r="U36" s="48">
        <f t="shared" si="52"/>
        <v>27652924</v>
      </c>
      <c r="V36" s="135">
        <f t="shared" si="52"/>
        <v>0</v>
      </c>
      <c r="W36" s="135">
        <f t="shared" si="52"/>
        <v>0</v>
      </c>
      <c r="X36" s="48">
        <f t="shared" si="52"/>
        <v>88033752</v>
      </c>
      <c r="Y36" s="48">
        <f t="shared" si="52"/>
        <v>105047865</v>
      </c>
      <c r="Z36" s="48">
        <f t="shared" ref="Z36:AG36" si="53">+Z34+Z35</f>
        <v>164380850</v>
      </c>
      <c r="AA36" s="48">
        <f t="shared" si="53"/>
        <v>14595326</v>
      </c>
      <c r="AB36" s="48">
        <f t="shared" si="53"/>
        <v>9714177</v>
      </c>
      <c r="AC36" s="48">
        <f t="shared" si="53"/>
        <v>42984000</v>
      </c>
      <c r="AD36" s="48">
        <f t="shared" si="53"/>
        <v>0</v>
      </c>
      <c r="AE36" s="48">
        <f t="shared" si="53"/>
        <v>0</v>
      </c>
      <c r="AF36" s="48">
        <f t="shared" si="53"/>
        <v>1006997791</v>
      </c>
      <c r="AG36" s="48">
        <f t="shared" si="53"/>
        <v>1110745323</v>
      </c>
      <c r="AH36" s="48">
        <f>+AH34-AH35</f>
        <v>165898130</v>
      </c>
      <c r="AI36" s="48">
        <f>+AI34-AI35</f>
        <v>49388676</v>
      </c>
      <c r="AJ36" s="48">
        <f>+AJ34+AJ35</f>
        <v>335977763</v>
      </c>
      <c r="AK36" s="48">
        <f>+AK34+AK35</f>
        <v>865902634</v>
      </c>
      <c r="AL36" s="48">
        <f>+AL34+AL35</f>
        <v>-3728492</v>
      </c>
      <c r="AM36" s="48">
        <f>+AM34+AM35</f>
        <v>5453155</v>
      </c>
      <c r="AN36" s="48">
        <f t="shared" ref="AN36:AW36" si="54">+AN34-AN35</f>
        <v>1405424208</v>
      </c>
      <c r="AO36" s="48">
        <f t="shared" si="54"/>
        <v>1384640140</v>
      </c>
      <c r="AP36" s="48">
        <f t="shared" si="54"/>
        <v>130092003</v>
      </c>
      <c r="AQ36" s="48">
        <f t="shared" si="54"/>
        <v>295959880</v>
      </c>
      <c r="AR36" s="135">
        <f t="shared" si="54"/>
        <v>259151</v>
      </c>
      <c r="AS36" s="135">
        <f t="shared" si="54"/>
        <v>398223</v>
      </c>
      <c r="AT36" s="48">
        <f t="shared" si="54"/>
        <v>5323056088</v>
      </c>
      <c r="AU36" s="48">
        <f t="shared" si="54"/>
        <v>12393985111</v>
      </c>
      <c r="AV36" s="135">
        <f t="shared" si="54"/>
        <v>0</v>
      </c>
      <c r="AW36" s="135">
        <f t="shared" si="54"/>
        <v>0</v>
      </c>
      <c r="AX36" s="135">
        <f>+AX34-AX35</f>
        <v>0</v>
      </c>
      <c r="AY36" s="135">
        <f>+AY34-AY35</f>
        <v>0</v>
      </c>
      <c r="AZ36" s="135">
        <f>+AZ34+AZ35</f>
        <v>-4695000</v>
      </c>
      <c r="BA36" s="135">
        <f>+BA34+BA35</f>
        <v>-4521000</v>
      </c>
      <c r="BB36" s="48">
        <f>+BB34-BB35</f>
        <v>145172656.50000042</v>
      </c>
      <c r="BC36" s="48">
        <f>+BC34-BC35</f>
        <v>114136815.30999991</v>
      </c>
      <c r="BD36" s="135">
        <f>+BD34-BD35</f>
        <v>0</v>
      </c>
      <c r="BE36" s="135">
        <f>+BE34-BE35</f>
        <v>0</v>
      </c>
      <c r="BF36" s="48">
        <f t="shared" ref="BF36:CB36" si="55">+BF34-BF35</f>
        <v>609089150</v>
      </c>
      <c r="BG36" s="48">
        <f t="shared" si="55"/>
        <v>2124039414</v>
      </c>
      <c r="BH36" s="48">
        <f t="shared" si="55"/>
        <v>110990727</v>
      </c>
      <c r="BI36" s="48">
        <f t="shared" si="55"/>
        <v>124741950</v>
      </c>
      <c r="BJ36" s="48">
        <f t="shared" si="55"/>
        <v>175605476</v>
      </c>
      <c r="BK36" s="48">
        <f t="shared" si="55"/>
        <v>111287150</v>
      </c>
      <c r="BL36" s="48">
        <f t="shared" si="55"/>
        <v>263641941</v>
      </c>
      <c r="BM36" s="48">
        <f t="shared" si="55"/>
        <v>397447078</v>
      </c>
      <c r="BN36" s="48">
        <f t="shared" si="55"/>
        <v>1433935480</v>
      </c>
      <c r="BO36" s="48">
        <f>+BO34-BO35</f>
        <v>1806042838</v>
      </c>
      <c r="BP36" s="135">
        <f t="shared" si="55"/>
        <v>6196</v>
      </c>
      <c r="BQ36" s="135">
        <f>+BQ34-BQ35</f>
        <v>24447</v>
      </c>
      <c r="BR36" s="135">
        <f>+BR34+BR35</f>
        <v>-1496644</v>
      </c>
      <c r="BS36" s="135">
        <f>+BS34+BS35</f>
        <v>-7774820</v>
      </c>
      <c r="BT36" s="48">
        <f t="shared" si="55"/>
        <v>4275499142</v>
      </c>
      <c r="BU36" s="48">
        <f t="shared" si="55"/>
        <v>-4329251182</v>
      </c>
      <c r="BV36" s="135">
        <f>+BV34-BV35</f>
        <v>15257824</v>
      </c>
      <c r="BW36" s="135">
        <f t="shared" si="55"/>
        <v>4462953</v>
      </c>
      <c r="BX36" s="48">
        <v>-3214708000</v>
      </c>
      <c r="BY36" s="48">
        <f t="shared" si="55"/>
        <v>-167480496</v>
      </c>
      <c r="BZ36" s="135">
        <v>15430000</v>
      </c>
      <c r="CA36" s="135">
        <f t="shared" si="55"/>
        <v>28311000</v>
      </c>
      <c r="CB36" s="48">
        <f t="shared" si="55"/>
        <v>-6558615551</v>
      </c>
      <c r="CC36" s="48">
        <f>+CC34+CC35</f>
        <v>-17523375603</v>
      </c>
    </row>
    <row r="37" spans="1:91" s="183" customFormat="1" ht="12.75" customHeight="1" x14ac:dyDescent="0.2">
      <c r="A37" s="379" t="s">
        <v>166</v>
      </c>
      <c r="B37" s="105">
        <f>+B10-B27</f>
        <v>0</v>
      </c>
      <c r="C37" s="105">
        <f t="shared" ref="C37:BN37" si="56">+C10-C27</f>
        <v>0</v>
      </c>
      <c r="D37" s="105">
        <f t="shared" si="56"/>
        <v>0</v>
      </c>
      <c r="E37" s="105">
        <f t="shared" si="56"/>
        <v>0</v>
      </c>
      <c r="F37" s="105">
        <f t="shared" si="56"/>
        <v>0</v>
      </c>
      <c r="G37" s="105">
        <f t="shared" si="56"/>
        <v>0</v>
      </c>
      <c r="H37" s="105">
        <f t="shared" si="56"/>
        <v>0</v>
      </c>
      <c r="I37" s="105">
        <f t="shared" si="56"/>
        <v>0</v>
      </c>
      <c r="J37" s="105">
        <f t="shared" si="56"/>
        <v>0</v>
      </c>
      <c r="K37" s="105">
        <f t="shared" si="56"/>
        <v>0</v>
      </c>
      <c r="L37" s="105">
        <f t="shared" si="56"/>
        <v>0</v>
      </c>
      <c r="M37" s="105">
        <f t="shared" si="56"/>
        <v>0</v>
      </c>
      <c r="N37" s="105">
        <f t="shared" si="56"/>
        <v>0</v>
      </c>
      <c r="O37" s="105">
        <f t="shared" si="56"/>
        <v>0</v>
      </c>
      <c r="P37" s="105">
        <f t="shared" si="56"/>
        <v>0</v>
      </c>
      <c r="Q37" s="105">
        <f t="shared" si="56"/>
        <v>0</v>
      </c>
      <c r="R37" s="105">
        <f t="shared" si="56"/>
        <v>0</v>
      </c>
      <c r="S37" s="105">
        <f t="shared" si="56"/>
        <v>0</v>
      </c>
      <c r="T37" s="105">
        <f t="shared" si="56"/>
        <v>0</v>
      </c>
      <c r="U37" s="105">
        <f t="shared" si="56"/>
        <v>0</v>
      </c>
      <c r="V37" s="105">
        <f t="shared" si="56"/>
        <v>0</v>
      </c>
      <c r="W37" s="105">
        <f t="shared" si="56"/>
        <v>0</v>
      </c>
      <c r="X37" s="105">
        <f t="shared" si="56"/>
        <v>0</v>
      </c>
      <c r="Y37" s="105">
        <f t="shared" si="56"/>
        <v>0</v>
      </c>
      <c r="Z37" s="105">
        <f t="shared" si="56"/>
        <v>0</v>
      </c>
      <c r="AA37" s="105">
        <f t="shared" si="56"/>
        <v>0</v>
      </c>
      <c r="AB37" s="105">
        <f t="shared" si="56"/>
        <v>0</v>
      </c>
      <c r="AC37" s="105">
        <f t="shared" si="56"/>
        <v>0</v>
      </c>
      <c r="AD37" s="105">
        <f t="shared" si="56"/>
        <v>0</v>
      </c>
      <c r="AE37" s="105">
        <f t="shared" si="56"/>
        <v>0</v>
      </c>
      <c r="AF37" s="105">
        <f t="shared" si="56"/>
        <v>0</v>
      </c>
      <c r="AG37" s="105">
        <f t="shared" si="56"/>
        <v>0</v>
      </c>
      <c r="AH37" s="105">
        <f t="shared" si="56"/>
        <v>0</v>
      </c>
      <c r="AI37" s="105">
        <f t="shared" si="56"/>
        <v>0</v>
      </c>
      <c r="AJ37" s="105">
        <f t="shared" si="56"/>
        <v>0</v>
      </c>
      <c r="AK37" s="105">
        <f t="shared" si="56"/>
        <v>0</v>
      </c>
      <c r="AL37" s="105">
        <f t="shared" si="56"/>
        <v>0</v>
      </c>
      <c r="AM37" s="105">
        <f t="shared" si="56"/>
        <v>0</v>
      </c>
      <c r="AN37" s="105">
        <f t="shared" si="56"/>
        <v>0</v>
      </c>
      <c r="AO37" s="105">
        <f t="shared" si="56"/>
        <v>0</v>
      </c>
      <c r="AP37" s="105">
        <f t="shared" si="56"/>
        <v>0</v>
      </c>
      <c r="AQ37" s="105">
        <f t="shared" si="56"/>
        <v>0</v>
      </c>
      <c r="AR37" s="105">
        <f t="shared" si="56"/>
        <v>0</v>
      </c>
      <c r="AS37" s="105">
        <f t="shared" si="56"/>
        <v>0</v>
      </c>
      <c r="AT37" s="105">
        <f t="shared" si="56"/>
        <v>0</v>
      </c>
      <c r="AU37" s="105">
        <f t="shared" si="56"/>
        <v>0</v>
      </c>
      <c r="AV37" s="105">
        <f t="shared" si="56"/>
        <v>0</v>
      </c>
      <c r="AW37" s="105">
        <f t="shared" si="56"/>
        <v>0</v>
      </c>
      <c r="AX37" s="105">
        <f t="shared" si="56"/>
        <v>0</v>
      </c>
      <c r="AY37" s="105">
        <f t="shared" si="56"/>
        <v>0</v>
      </c>
      <c r="AZ37" s="105">
        <f t="shared" si="56"/>
        <v>0</v>
      </c>
      <c r="BA37" s="105">
        <f t="shared" si="56"/>
        <v>0</v>
      </c>
      <c r="BB37" s="105">
        <f t="shared" si="56"/>
        <v>0</v>
      </c>
      <c r="BC37" s="105">
        <f t="shared" si="56"/>
        <v>0</v>
      </c>
      <c r="BD37" s="105">
        <f t="shared" si="56"/>
        <v>0</v>
      </c>
      <c r="BE37" s="105">
        <f t="shared" si="56"/>
        <v>0</v>
      </c>
      <c r="BF37" s="105">
        <f t="shared" si="56"/>
        <v>0</v>
      </c>
      <c r="BG37" s="105">
        <f t="shared" si="56"/>
        <v>0</v>
      </c>
      <c r="BH37" s="105">
        <f t="shared" si="56"/>
        <v>0</v>
      </c>
      <c r="BI37" s="105">
        <f t="shared" si="56"/>
        <v>0</v>
      </c>
      <c r="BJ37" s="105">
        <f t="shared" si="56"/>
        <v>0</v>
      </c>
      <c r="BK37" s="105">
        <f t="shared" si="56"/>
        <v>0</v>
      </c>
      <c r="BL37" s="105">
        <f t="shared" si="56"/>
        <v>0</v>
      </c>
      <c r="BM37" s="105">
        <f t="shared" si="56"/>
        <v>0</v>
      </c>
      <c r="BN37" s="105">
        <f t="shared" si="56"/>
        <v>0</v>
      </c>
      <c r="BO37" s="105">
        <f t="shared" ref="BO37:CC37" si="57">+BO10-BO27</f>
        <v>0</v>
      </c>
      <c r="BP37" s="105">
        <f t="shared" si="57"/>
        <v>0</v>
      </c>
      <c r="BQ37" s="105">
        <f t="shared" si="57"/>
        <v>0</v>
      </c>
      <c r="BR37" s="105">
        <f t="shared" si="57"/>
        <v>0</v>
      </c>
      <c r="BS37" s="105">
        <f t="shared" si="57"/>
        <v>0</v>
      </c>
      <c r="BT37" s="105">
        <f t="shared" si="57"/>
        <v>0</v>
      </c>
      <c r="BU37" s="105">
        <f t="shared" si="57"/>
        <v>0</v>
      </c>
      <c r="BV37" s="105">
        <f t="shared" si="57"/>
        <v>0</v>
      </c>
      <c r="BW37" s="105">
        <f t="shared" si="57"/>
        <v>0</v>
      </c>
      <c r="BX37" s="105">
        <f t="shared" si="57"/>
        <v>0</v>
      </c>
      <c r="BY37" s="105">
        <f t="shared" si="57"/>
        <v>0</v>
      </c>
      <c r="BZ37" s="105">
        <f t="shared" si="57"/>
        <v>0</v>
      </c>
      <c r="CA37" s="105">
        <f t="shared" si="57"/>
        <v>0</v>
      </c>
      <c r="CB37" s="105">
        <f t="shared" si="57"/>
        <v>0</v>
      </c>
      <c r="CC37" s="105">
        <f t="shared" si="57"/>
        <v>0</v>
      </c>
      <c r="CD37" s="137"/>
      <c r="CE37" s="137"/>
      <c r="CF37" s="137"/>
      <c r="CG37" s="137"/>
      <c r="CH37" s="137"/>
      <c r="CI37" s="137"/>
      <c r="CJ37" s="137"/>
      <c r="CK37" s="137"/>
      <c r="CL37" s="137"/>
      <c r="CM37" s="137"/>
    </row>
    <row r="38" spans="1:91" s="183" customFormat="1" ht="13.5" customHeight="1" x14ac:dyDescent="0.2">
      <c r="A38" s="379"/>
    </row>
    <row r="39" spans="1:91" s="183" customFormat="1" ht="13.5" customHeight="1" x14ac:dyDescent="0.2">
      <c r="A39" s="379"/>
      <c r="B39" s="185"/>
    </row>
    <row r="40" spans="1:91" s="183" customFormat="1" ht="12.75" customHeight="1" x14ac:dyDescent="0.2">
      <c r="A40" s="379" t="s">
        <v>167</v>
      </c>
    </row>
    <row r="41" spans="1:91" s="183" customFormat="1" ht="13.5" customHeight="1" x14ac:dyDescent="0.2">
      <c r="A41" s="379"/>
    </row>
    <row r="42" spans="1:91" s="183" customFormat="1" ht="13.5" customHeight="1" x14ac:dyDescent="0.2">
      <c r="A42" s="379"/>
      <c r="B42" s="184"/>
    </row>
    <row r="43" spans="1:91" s="183" customFormat="1" ht="13.5" customHeight="1" x14ac:dyDescent="0.2">
      <c r="A43" s="379"/>
      <c r="B43" s="184"/>
    </row>
    <row r="44" spans="1:91" s="183" customFormat="1" ht="12.75" customHeight="1" x14ac:dyDescent="0.2">
      <c r="A44" s="379"/>
      <c r="B44" s="184"/>
    </row>
    <row r="45" spans="1:91" s="183" customFormat="1" ht="12.75" customHeight="1" x14ac:dyDescent="0.2">
      <c r="A45" s="379"/>
      <c r="B45" s="186"/>
    </row>
    <row r="46" spans="1:91" s="183" customFormat="1" x14ac:dyDescent="0.2">
      <c r="A46" s="379"/>
    </row>
    <row r="47" spans="1:91" s="183" customFormat="1" x14ac:dyDescent="0.2">
      <c r="A47" s="379"/>
    </row>
    <row r="48" spans="1:91" s="183" customFormat="1" x14ac:dyDescent="0.2">
      <c r="A48" s="379"/>
    </row>
    <row r="49" spans="1:11" s="183" customFormat="1" x14ac:dyDescent="0.2">
      <c r="A49" s="379"/>
    </row>
    <row r="50" spans="1:11" s="183" customFormat="1" x14ac:dyDescent="0.2">
      <c r="A50" s="379"/>
    </row>
    <row r="51" spans="1:11" s="183" customFormat="1" x14ac:dyDescent="0.2">
      <c r="A51" s="379"/>
    </row>
    <row r="52" spans="1:11" s="183" customFormat="1" x14ac:dyDescent="0.2">
      <c r="A52" s="190"/>
    </row>
    <row r="53" spans="1:11" s="183" customFormat="1" x14ac:dyDescent="0.2">
      <c r="A53" s="187"/>
    </row>
    <row r="54" spans="1:11" s="183" customFormat="1" x14ac:dyDescent="0.2">
      <c r="A54" s="187"/>
    </row>
    <row r="55" spans="1:11" s="183" customFormat="1" x14ac:dyDescent="0.2">
      <c r="A55" s="188"/>
    </row>
    <row r="56" spans="1:11" s="183" customFormat="1" x14ac:dyDescent="0.2">
      <c r="A56" s="188"/>
    </row>
    <row r="57" spans="1:11" s="183" customFormat="1" x14ac:dyDescent="0.2">
      <c r="A57" s="188"/>
      <c r="J57" s="189"/>
      <c r="K57" s="189"/>
    </row>
    <row r="58" spans="1:11" s="183" customFormat="1" x14ac:dyDescent="0.2">
      <c r="A58" s="188"/>
      <c r="J58" s="189"/>
      <c r="K58" s="189"/>
    </row>
    <row r="59" spans="1:11" s="183" customFormat="1" x14ac:dyDescent="0.2">
      <c r="A59" s="188"/>
      <c r="J59" s="189"/>
      <c r="K59" s="189"/>
    </row>
    <row r="60" spans="1:11" s="183" customFormat="1" x14ac:dyDescent="0.2">
      <c r="A60" s="188"/>
      <c r="J60" s="189"/>
      <c r="K60" s="189"/>
    </row>
    <row r="61" spans="1:11" s="183" customFormat="1" x14ac:dyDescent="0.2">
      <c r="A61" s="188"/>
      <c r="J61" s="189"/>
      <c r="K61" s="189"/>
    </row>
    <row r="62" spans="1:11" s="183" customFormat="1" x14ac:dyDescent="0.2">
      <c r="A62" s="188"/>
      <c r="J62" s="189"/>
      <c r="K62" s="189"/>
    </row>
    <row r="63" spans="1:11" s="183" customFormat="1" x14ac:dyDescent="0.2">
      <c r="A63" s="188"/>
      <c r="J63" s="189"/>
      <c r="K63" s="189"/>
    </row>
    <row r="64" spans="1:11" s="183" customFormat="1" x14ac:dyDescent="0.2">
      <c r="A64" s="188"/>
      <c r="J64" s="189"/>
      <c r="K64" s="189"/>
    </row>
    <row r="65" spans="1:11" s="183" customFormat="1" x14ac:dyDescent="0.2">
      <c r="A65" s="188"/>
      <c r="J65" s="189"/>
      <c r="K65" s="189"/>
    </row>
    <row r="66" spans="1:11" s="183" customFormat="1" x14ac:dyDescent="0.2">
      <c r="A66" s="188"/>
      <c r="J66" s="189"/>
      <c r="K66" s="189"/>
    </row>
    <row r="67" spans="1:11" s="183" customFormat="1" x14ac:dyDescent="0.2">
      <c r="A67" s="188"/>
      <c r="J67" s="189"/>
      <c r="K67" s="189"/>
    </row>
    <row r="68" spans="1:11" s="183" customFormat="1" x14ac:dyDescent="0.2">
      <c r="A68" s="188"/>
      <c r="J68" s="189"/>
      <c r="K68" s="189"/>
    </row>
    <row r="69" spans="1:11" s="183" customFormat="1" x14ac:dyDescent="0.2">
      <c r="A69" s="188"/>
      <c r="J69" s="189"/>
      <c r="K69" s="189"/>
    </row>
    <row r="70" spans="1:11" s="183" customFormat="1" x14ac:dyDescent="0.2">
      <c r="A70" s="188"/>
      <c r="J70" s="189"/>
      <c r="K70" s="189"/>
    </row>
    <row r="71" spans="1:11" s="183" customFormat="1" x14ac:dyDescent="0.2">
      <c r="A71" s="188"/>
      <c r="J71" s="189"/>
      <c r="K71" s="189"/>
    </row>
    <row r="72" spans="1:11" s="183" customFormat="1" x14ac:dyDescent="0.2">
      <c r="A72" s="188"/>
      <c r="J72" s="189"/>
      <c r="K72" s="189"/>
    </row>
    <row r="73" spans="1:11" s="183" customFormat="1" x14ac:dyDescent="0.2">
      <c r="A73" s="188"/>
      <c r="J73" s="189"/>
      <c r="K73" s="189"/>
    </row>
    <row r="74" spans="1:11" s="183" customFormat="1" x14ac:dyDescent="0.2">
      <c r="A74" s="188"/>
      <c r="J74" s="189"/>
      <c r="K74" s="189"/>
    </row>
    <row r="75" spans="1:11" s="183" customFormat="1" x14ac:dyDescent="0.2">
      <c r="A75" s="188"/>
      <c r="J75" s="189"/>
      <c r="K75" s="189"/>
    </row>
    <row r="76" spans="1:11" s="183" customFormat="1" x14ac:dyDescent="0.2">
      <c r="A76" s="188"/>
      <c r="J76" s="189"/>
      <c r="K76" s="189"/>
    </row>
    <row r="77" spans="1:11" s="183" customFormat="1" x14ac:dyDescent="0.2">
      <c r="A77" s="188"/>
      <c r="J77" s="189"/>
      <c r="K77" s="189"/>
    </row>
    <row r="78" spans="1:11" s="183" customFormat="1" x14ac:dyDescent="0.2">
      <c r="A78" s="188"/>
      <c r="J78" s="189"/>
      <c r="K78" s="189"/>
    </row>
    <row r="79" spans="1:11" s="183" customFormat="1" x14ac:dyDescent="0.2">
      <c r="A79" s="188"/>
      <c r="J79" s="189"/>
      <c r="K79" s="189"/>
    </row>
    <row r="80" spans="1:11" s="183" customFormat="1" x14ac:dyDescent="0.2">
      <c r="A80" s="188"/>
      <c r="J80" s="189"/>
      <c r="K80" s="189"/>
    </row>
    <row r="81" spans="1:11" s="183" customFormat="1" x14ac:dyDescent="0.2">
      <c r="A81" s="188"/>
      <c r="J81" s="189"/>
      <c r="K81" s="189"/>
    </row>
    <row r="82" spans="1:11" s="183" customFormat="1" x14ac:dyDescent="0.2">
      <c r="A82" s="188"/>
      <c r="J82" s="189"/>
      <c r="K82" s="189"/>
    </row>
    <row r="83" spans="1:11" s="183" customFormat="1" x14ac:dyDescent="0.2">
      <c r="A83" s="188"/>
      <c r="J83" s="189"/>
      <c r="K83" s="189"/>
    </row>
    <row r="84" spans="1:11" s="183" customFormat="1" x14ac:dyDescent="0.2">
      <c r="A84" s="188"/>
      <c r="J84" s="189"/>
      <c r="K84" s="189"/>
    </row>
    <row r="85" spans="1:11" s="183" customFormat="1" x14ac:dyDescent="0.2">
      <c r="A85" s="188"/>
      <c r="J85" s="189"/>
      <c r="K85" s="189"/>
    </row>
    <row r="86" spans="1:11" s="183" customFormat="1" x14ac:dyDescent="0.2">
      <c r="A86" s="188"/>
      <c r="J86" s="189"/>
      <c r="K86" s="189"/>
    </row>
    <row r="87" spans="1:11" s="183" customFormat="1" x14ac:dyDescent="0.2">
      <c r="A87" s="188"/>
      <c r="J87" s="189"/>
      <c r="K87" s="189"/>
    </row>
    <row r="88" spans="1:11" s="183" customFormat="1" x14ac:dyDescent="0.2">
      <c r="A88" s="188"/>
      <c r="J88" s="189"/>
      <c r="K88" s="189"/>
    </row>
    <row r="89" spans="1:11" s="183" customFormat="1" x14ac:dyDescent="0.2">
      <c r="A89" s="188"/>
      <c r="J89" s="189"/>
      <c r="K89" s="189"/>
    </row>
    <row r="90" spans="1:11" s="183" customFormat="1" x14ac:dyDescent="0.2">
      <c r="A90" s="188"/>
      <c r="J90" s="189"/>
      <c r="K90" s="189"/>
    </row>
    <row r="91" spans="1:11" s="183" customFormat="1" x14ac:dyDescent="0.2">
      <c r="A91" s="188"/>
      <c r="J91" s="189"/>
      <c r="K91" s="189"/>
    </row>
    <row r="92" spans="1:11" s="183" customFormat="1" x14ac:dyDescent="0.2">
      <c r="A92" s="188"/>
      <c r="J92" s="189"/>
      <c r="K92" s="189"/>
    </row>
    <row r="93" spans="1:11" s="183" customFormat="1" x14ac:dyDescent="0.2">
      <c r="A93" s="188"/>
      <c r="J93" s="189"/>
      <c r="K93" s="189"/>
    </row>
    <row r="94" spans="1:11" s="183" customFormat="1" x14ac:dyDescent="0.2">
      <c r="A94" s="188"/>
      <c r="J94" s="189"/>
      <c r="K94" s="189"/>
    </row>
    <row r="95" spans="1:11" s="183" customFormat="1" x14ac:dyDescent="0.2">
      <c r="A95" s="188"/>
      <c r="J95" s="189"/>
      <c r="K95" s="189"/>
    </row>
    <row r="96" spans="1:11" s="183" customFormat="1" x14ac:dyDescent="0.2">
      <c r="A96" s="188"/>
      <c r="J96" s="189"/>
      <c r="K96" s="189"/>
    </row>
    <row r="97" spans="1:11" s="183" customFormat="1" x14ac:dyDescent="0.2">
      <c r="A97" s="188"/>
      <c r="J97" s="189"/>
      <c r="K97" s="189"/>
    </row>
    <row r="98" spans="1:11" s="183" customFormat="1" x14ac:dyDescent="0.2">
      <c r="A98" s="188"/>
      <c r="J98" s="189"/>
      <c r="K98" s="189"/>
    </row>
    <row r="99" spans="1:11" s="183" customFormat="1" x14ac:dyDescent="0.2">
      <c r="A99" s="188"/>
      <c r="J99" s="189"/>
      <c r="K99" s="189"/>
    </row>
    <row r="100" spans="1:11" s="183" customFormat="1" x14ac:dyDescent="0.2">
      <c r="A100" s="188"/>
      <c r="J100" s="189"/>
      <c r="K100" s="189"/>
    </row>
    <row r="101" spans="1:11" s="183" customFormat="1" x14ac:dyDescent="0.2">
      <c r="A101" s="188"/>
      <c r="J101" s="189"/>
      <c r="K101" s="189"/>
    </row>
    <row r="102" spans="1:11" s="183" customFormat="1" x14ac:dyDescent="0.2">
      <c r="A102" s="188"/>
      <c r="J102" s="189"/>
      <c r="K102" s="189"/>
    </row>
    <row r="103" spans="1:11" s="183" customFormat="1" x14ac:dyDescent="0.2">
      <c r="A103" s="188"/>
      <c r="J103" s="189"/>
      <c r="K103" s="189"/>
    </row>
    <row r="104" spans="1:11" s="183" customFormat="1" x14ac:dyDescent="0.2">
      <c r="A104" s="188"/>
      <c r="J104" s="189"/>
      <c r="K104" s="189"/>
    </row>
    <row r="105" spans="1:11" s="183" customFormat="1" x14ac:dyDescent="0.2">
      <c r="A105" s="188"/>
      <c r="J105" s="189"/>
      <c r="K105" s="189"/>
    </row>
    <row r="106" spans="1:11" s="183" customFormat="1" x14ac:dyDescent="0.2">
      <c r="A106" s="188"/>
      <c r="J106" s="189"/>
      <c r="K106" s="189"/>
    </row>
    <row r="107" spans="1:11" s="183" customFormat="1" x14ac:dyDescent="0.2">
      <c r="A107" s="188"/>
      <c r="J107" s="189"/>
      <c r="K107" s="189"/>
    </row>
    <row r="108" spans="1:11" s="183" customFormat="1" x14ac:dyDescent="0.2">
      <c r="A108" s="188"/>
      <c r="J108" s="189"/>
      <c r="K108" s="189"/>
    </row>
    <row r="109" spans="1:11" s="183" customFormat="1" x14ac:dyDescent="0.2">
      <c r="A109" s="188"/>
      <c r="J109" s="189"/>
      <c r="K109" s="189"/>
    </row>
    <row r="110" spans="1:11" s="183" customFormat="1" x14ac:dyDescent="0.2">
      <c r="A110" s="188"/>
      <c r="J110" s="189"/>
      <c r="K110" s="189"/>
    </row>
    <row r="111" spans="1:11" s="183" customFormat="1" x14ac:dyDescent="0.2">
      <c r="A111" s="188"/>
      <c r="J111" s="189"/>
      <c r="K111" s="189"/>
    </row>
    <row r="112" spans="1:11" s="183" customFormat="1" x14ac:dyDescent="0.2">
      <c r="A112" s="188"/>
      <c r="J112" s="189"/>
      <c r="K112" s="189"/>
    </row>
    <row r="113" spans="1:81" s="183" customFormat="1" x14ac:dyDescent="0.2">
      <c r="A113" s="188"/>
      <c r="J113" s="189"/>
      <c r="K113" s="189"/>
    </row>
    <row r="114" spans="1:81" s="183" customFormat="1" x14ac:dyDescent="0.2">
      <c r="A114" s="188"/>
      <c r="J114" s="189"/>
      <c r="K114" s="189"/>
    </row>
    <row r="115" spans="1:81" s="183" customFormat="1" x14ac:dyDescent="0.2">
      <c r="A115" s="188"/>
      <c r="J115" s="189"/>
      <c r="K115" s="189"/>
    </row>
    <row r="116" spans="1:81" s="183" customFormat="1" x14ac:dyDescent="0.2">
      <c r="A116" s="188"/>
      <c r="J116" s="189"/>
      <c r="K116" s="189"/>
    </row>
    <row r="117" spans="1:81" x14ac:dyDescent="0.2">
      <c r="A117" s="34"/>
      <c r="B117" s="22"/>
      <c r="C117" s="22"/>
      <c r="D117" s="22"/>
      <c r="E117" s="22"/>
      <c r="F117" s="22"/>
      <c r="G117" s="22"/>
      <c r="H117" s="22"/>
      <c r="I117" s="22"/>
      <c r="J117" s="157"/>
      <c r="K117" s="157"/>
      <c r="L117" s="22"/>
      <c r="M117" s="22"/>
      <c r="N117" s="22"/>
      <c r="O117" s="22"/>
      <c r="P117" s="22"/>
      <c r="Q117" s="22"/>
      <c r="R117" s="22"/>
      <c r="S117" s="22"/>
      <c r="Z117" s="22"/>
      <c r="AA117" s="22"/>
      <c r="AB117" s="22"/>
      <c r="AC117" s="22"/>
      <c r="AD117" s="22"/>
      <c r="AE117" s="22"/>
      <c r="AF117" s="22"/>
      <c r="AG117" s="22"/>
      <c r="AH117" s="22"/>
      <c r="AI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row>
    <row r="118" spans="1:81" x14ac:dyDescent="0.2">
      <c r="A118" s="34"/>
      <c r="B118" s="22"/>
      <c r="C118" s="22"/>
      <c r="D118" s="22"/>
      <c r="E118" s="22"/>
      <c r="F118" s="22"/>
      <c r="G118" s="22"/>
      <c r="H118" s="22"/>
      <c r="I118" s="22"/>
      <c r="J118" s="157"/>
      <c r="K118" s="157"/>
      <c r="L118" s="22"/>
      <c r="M118" s="22"/>
      <c r="N118" s="22"/>
      <c r="O118" s="22"/>
      <c r="P118" s="22"/>
      <c r="Q118" s="22"/>
      <c r="R118" s="22"/>
      <c r="S118" s="22"/>
      <c r="Z118" s="22"/>
      <c r="AA118" s="22"/>
      <c r="AB118" s="22"/>
      <c r="AC118" s="22"/>
      <c r="AD118" s="22"/>
      <c r="AE118" s="22"/>
      <c r="AF118" s="22"/>
      <c r="AG118" s="22"/>
      <c r="AH118" s="22"/>
      <c r="AI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row>
    <row r="119" spans="1:81" x14ac:dyDescent="0.2">
      <c r="A119" s="34"/>
      <c r="B119" s="22"/>
      <c r="C119" s="22"/>
      <c r="D119" s="22"/>
      <c r="E119" s="22"/>
      <c r="F119" s="22"/>
      <c r="G119" s="22"/>
      <c r="H119" s="22"/>
      <c r="I119" s="22"/>
      <c r="J119" s="157"/>
      <c r="K119" s="157"/>
      <c r="L119" s="22"/>
      <c r="M119" s="22"/>
      <c r="N119" s="22"/>
      <c r="O119" s="22"/>
      <c r="P119" s="22"/>
      <c r="Q119" s="22"/>
      <c r="R119" s="22"/>
      <c r="S119" s="22"/>
      <c r="Z119" s="22"/>
      <c r="AA119" s="22"/>
      <c r="AB119" s="22"/>
      <c r="AC119" s="22"/>
      <c r="AD119" s="22"/>
      <c r="AE119" s="22"/>
      <c r="AF119" s="22"/>
      <c r="AG119" s="22"/>
      <c r="AH119" s="22"/>
      <c r="AI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row>
    <row r="120" spans="1:81" x14ac:dyDescent="0.2">
      <c r="A120" s="34"/>
      <c r="B120" s="22"/>
      <c r="C120" s="22"/>
      <c r="D120" s="22"/>
      <c r="E120" s="22"/>
      <c r="F120" s="22"/>
      <c r="G120" s="22"/>
      <c r="H120" s="22"/>
      <c r="I120" s="22"/>
      <c r="J120" s="157"/>
      <c r="K120" s="157"/>
      <c r="L120" s="22"/>
      <c r="M120" s="22"/>
      <c r="N120" s="22"/>
      <c r="O120" s="22"/>
      <c r="P120" s="22"/>
      <c r="Q120" s="22"/>
      <c r="R120" s="22"/>
      <c r="S120" s="22"/>
      <c r="Z120" s="22"/>
      <c r="AA120" s="22"/>
      <c r="AB120" s="22"/>
      <c r="AC120" s="22"/>
      <c r="AD120" s="22"/>
      <c r="AE120" s="22"/>
      <c r="AF120" s="22"/>
      <c r="AG120" s="22"/>
      <c r="AH120" s="22"/>
      <c r="AI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row>
    <row r="121" spans="1:81" x14ac:dyDescent="0.2">
      <c r="A121" s="34"/>
      <c r="B121" s="22"/>
      <c r="C121" s="22"/>
      <c r="D121" s="22"/>
      <c r="E121" s="22"/>
      <c r="F121" s="22"/>
      <c r="G121" s="22"/>
      <c r="H121" s="22"/>
      <c r="I121" s="22"/>
      <c r="J121" s="157"/>
      <c r="K121" s="157"/>
      <c r="L121" s="22"/>
      <c r="M121" s="22"/>
      <c r="N121" s="22"/>
      <c r="O121" s="22"/>
      <c r="P121" s="22"/>
      <c r="Q121" s="22"/>
      <c r="R121" s="22"/>
      <c r="S121" s="22"/>
      <c r="Z121" s="22"/>
      <c r="AA121" s="22"/>
      <c r="AB121" s="22"/>
      <c r="AC121" s="22"/>
      <c r="AD121" s="22"/>
      <c r="AE121" s="22"/>
      <c r="AF121" s="22"/>
      <c r="AG121" s="22"/>
      <c r="AH121" s="22"/>
      <c r="AI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row>
    <row r="122" spans="1:81" x14ac:dyDescent="0.2">
      <c r="A122" s="34"/>
      <c r="B122" s="22"/>
      <c r="C122" s="22"/>
      <c r="D122" s="22"/>
      <c r="E122" s="22"/>
      <c r="F122" s="22"/>
      <c r="G122" s="22"/>
      <c r="H122" s="22"/>
      <c r="I122" s="22"/>
      <c r="J122" s="157"/>
      <c r="K122" s="157"/>
      <c r="L122" s="22"/>
      <c r="M122" s="22"/>
      <c r="N122" s="22"/>
      <c r="O122" s="22"/>
      <c r="P122" s="22"/>
      <c r="Q122" s="22"/>
      <c r="R122" s="22"/>
      <c r="S122" s="22"/>
      <c r="Z122" s="22"/>
      <c r="AA122" s="22"/>
      <c r="AB122" s="22"/>
      <c r="AC122" s="22"/>
      <c r="AD122" s="22"/>
      <c r="AE122" s="22"/>
      <c r="AF122" s="22"/>
      <c r="AG122" s="22"/>
      <c r="AH122" s="22"/>
      <c r="AI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row>
    <row r="123" spans="1:81" x14ac:dyDescent="0.2">
      <c r="A123" s="34"/>
      <c r="B123" s="22"/>
      <c r="C123" s="22"/>
      <c r="D123" s="22"/>
      <c r="E123" s="22"/>
      <c r="F123" s="22"/>
      <c r="G123" s="22"/>
      <c r="H123" s="22"/>
      <c r="I123" s="22"/>
      <c r="J123" s="157"/>
      <c r="K123" s="157"/>
      <c r="L123" s="22"/>
      <c r="M123" s="22"/>
      <c r="N123" s="22"/>
      <c r="O123" s="22"/>
      <c r="P123" s="22"/>
      <c r="Q123" s="22"/>
      <c r="R123" s="22"/>
      <c r="S123" s="22"/>
      <c r="Z123" s="22"/>
      <c r="AA123" s="22"/>
      <c r="AB123" s="22"/>
      <c r="AC123" s="22"/>
      <c r="AD123" s="22"/>
      <c r="AE123" s="22"/>
      <c r="AF123" s="22"/>
      <c r="AG123" s="22"/>
      <c r="AH123" s="22"/>
      <c r="AI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row>
    <row r="124" spans="1:81" x14ac:dyDescent="0.2">
      <c r="A124" s="34"/>
      <c r="B124" s="22"/>
      <c r="C124" s="22"/>
      <c r="D124" s="22"/>
      <c r="E124" s="22"/>
      <c r="F124" s="22"/>
      <c r="G124" s="22"/>
      <c r="H124" s="22"/>
      <c r="I124" s="22"/>
      <c r="J124" s="157"/>
      <c r="K124" s="157"/>
      <c r="L124" s="22"/>
      <c r="M124" s="22"/>
      <c r="N124" s="22"/>
      <c r="O124" s="22"/>
      <c r="P124" s="22"/>
      <c r="Q124" s="22"/>
      <c r="R124" s="22"/>
      <c r="S124" s="22"/>
      <c r="Z124" s="22"/>
      <c r="AA124" s="22"/>
      <c r="AB124" s="22"/>
      <c r="AC124" s="22"/>
      <c r="AD124" s="22"/>
      <c r="AE124" s="22"/>
      <c r="AF124" s="22"/>
      <c r="AG124" s="22"/>
      <c r="AH124" s="22"/>
      <c r="AI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row>
    <row r="125" spans="1:81" x14ac:dyDescent="0.2">
      <c r="A125" s="34"/>
      <c r="B125" s="22"/>
      <c r="C125" s="22"/>
      <c r="D125" s="22"/>
      <c r="E125" s="22"/>
      <c r="F125" s="22"/>
      <c r="G125" s="22"/>
      <c r="H125" s="22"/>
      <c r="I125" s="22"/>
      <c r="J125" s="157"/>
      <c r="K125" s="157"/>
      <c r="L125" s="22"/>
      <c r="M125" s="22"/>
      <c r="N125" s="22"/>
      <c r="O125" s="22"/>
      <c r="P125" s="22"/>
      <c r="Q125" s="22"/>
      <c r="R125" s="22"/>
      <c r="S125" s="22"/>
      <c r="Z125" s="22"/>
      <c r="AA125" s="22"/>
      <c r="AB125" s="22"/>
      <c r="AC125" s="22"/>
      <c r="AD125" s="22"/>
      <c r="AE125" s="22"/>
      <c r="AF125" s="22"/>
      <c r="AG125" s="22"/>
      <c r="AH125" s="22"/>
      <c r="AI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row>
    <row r="126" spans="1:81" x14ac:dyDescent="0.2">
      <c r="A126" s="34"/>
      <c r="B126" s="22"/>
      <c r="C126" s="22"/>
      <c r="D126" s="22"/>
      <c r="E126" s="22"/>
      <c r="F126" s="22"/>
      <c r="G126" s="22"/>
      <c r="H126" s="22"/>
      <c r="I126" s="22"/>
      <c r="J126" s="157"/>
      <c r="K126" s="157"/>
      <c r="L126" s="22"/>
      <c r="M126" s="22"/>
      <c r="N126" s="22"/>
      <c r="O126" s="22"/>
      <c r="P126" s="22"/>
      <c r="Q126" s="22"/>
      <c r="R126" s="22"/>
      <c r="S126" s="22"/>
      <c r="Z126" s="22"/>
      <c r="AA126" s="22"/>
      <c r="AB126" s="22"/>
      <c r="AC126" s="22"/>
      <c r="AD126" s="22"/>
      <c r="AE126" s="22"/>
      <c r="AF126" s="22"/>
      <c r="AG126" s="22"/>
      <c r="AH126" s="22"/>
      <c r="AI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row>
    <row r="127" spans="1:81" x14ac:dyDescent="0.2">
      <c r="A127" s="34"/>
      <c r="B127" s="22"/>
      <c r="C127" s="22"/>
      <c r="D127" s="22"/>
      <c r="E127" s="22"/>
      <c r="F127" s="22"/>
      <c r="G127" s="22"/>
      <c r="H127" s="22"/>
      <c r="I127" s="22"/>
      <c r="J127" s="157"/>
      <c r="K127" s="157"/>
      <c r="L127" s="22"/>
      <c r="M127" s="22"/>
      <c r="N127" s="22"/>
      <c r="O127" s="22"/>
      <c r="P127" s="22"/>
      <c r="Q127" s="22"/>
      <c r="R127" s="22"/>
      <c r="S127" s="22"/>
      <c r="Z127" s="22"/>
      <c r="AA127" s="22"/>
      <c r="AB127" s="22"/>
      <c r="AC127" s="22"/>
      <c r="AD127" s="22"/>
      <c r="AE127" s="22"/>
      <c r="AF127" s="22"/>
      <c r="AG127" s="22"/>
      <c r="AH127" s="22"/>
      <c r="AI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row>
    <row r="128" spans="1:81" x14ac:dyDescent="0.2">
      <c r="A128" s="34"/>
      <c r="B128" s="22"/>
      <c r="C128" s="22"/>
      <c r="D128" s="22"/>
      <c r="E128" s="22"/>
      <c r="F128" s="22"/>
      <c r="G128" s="22"/>
      <c r="H128" s="22"/>
      <c r="I128" s="22"/>
      <c r="J128" s="157"/>
      <c r="K128" s="157"/>
      <c r="L128" s="22"/>
      <c r="M128" s="22"/>
      <c r="N128" s="22"/>
      <c r="O128" s="22"/>
      <c r="P128" s="22"/>
      <c r="Q128" s="22"/>
      <c r="R128" s="22"/>
      <c r="S128" s="22"/>
      <c r="Z128" s="22"/>
      <c r="AA128" s="22"/>
      <c r="AB128" s="22"/>
      <c r="AC128" s="22"/>
      <c r="AD128" s="22"/>
      <c r="AE128" s="22"/>
      <c r="AF128" s="22"/>
      <c r="AG128" s="22"/>
      <c r="AH128" s="22"/>
      <c r="AI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row>
    <row r="129" spans="1:81" x14ac:dyDescent="0.2">
      <c r="A129" s="34"/>
      <c r="B129" s="22"/>
      <c r="C129" s="22"/>
      <c r="D129" s="22"/>
      <c r="E129" s="22"/>
      <c r="F129" s="22"/>
      <c r="G129" s="22"/>
      <c r="H129" s="22"/>
      <c r="I129" s="22"/>
      <c r="J129" s="157"/>
      <c r="K129" s="157"/>
      <c r="L129" s="22"/>
      <c r="M129" s="22"/>
      <c r="N129" s="22"/>
      <c r="O129" s="22"/>
      <c r="P129" s="22"/>
      <c r="Q129" s="22"/>
      <c r="R129" s="22"/>
      <c r="S129" s="22"/>
      <c r="Z129" s="22"/>
      <c r="AA129" s="22"/>
      <c r="AB129" s="22"/>
      <c r="AC129" s="22"/>
      <c r="AD129" s="22"/>
      <c r="AE129" s="22"/>
      <c r="AF129" s="22"/>
      <c r="AG129" s="22"/>
      <c r="AH129" s="22"/>
      <c r="AI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row>
    <row r="130" spans="1:81" x14ac:dyDescent="0.2">
      <c r="A130" s="34"/>
      <c r="B130" s="22"/>
      <c r="C130" s="22"/>
      <c r="D130" s="22"/>
      <c r="E130" s="22"/>
      <c r="F130" s="22"/>
      <c r="G130" s="22"/>
      <c r="H130" s="22"/>
      <c r="I130" s="22"/>
      <c r="J130" s="157"/>
      <c r="K130" s="157"/>
      <c r="L130" s="22"/>
      <c r="M130" s="22"/>
      <c r="N130" s="22"/>
      <c r="O130" s="22"/>
      <c r="P130" s="22"/>
      <c r="Q130" s="22"/>
      <c r="R130" s="22"/>
      <c r="S130" s="22"/>
      <c r="Z130" s="22"/>
      <c r="AA130" s="22"/>
      <c r="AB130" s="22"/>
      <c r="AC130" s="22"/>
      <c r="AD130" s="22"/>
      <c r="AE130" s="22"/>
      <c r="AF130" s="22"/>
      <c r="AG130" s="22"/>
      <c r="AH130" s="22"/>
      <c r="AI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row>
    <row r="131" spans="1:81" x14ac:dyDescent="0.2">
      <c r="A131" s="34"/>
      <c r="B131" s="22"/>
      <c r="C131" s="22"/>
      <c r="D131" s="22"/>
      <c r="E131" s="22"/>
      <c r="F131" s="22"/>
      <c r="G131" s="22"/>
      <c r="H131" s="22"/>
      <c r="I131" s="22"/>
      <c r="J131" s="157"/>
      <c r="K131" s="157"/>
      <c r="L131" s="22"/>
      <c r="M131" s="22"/>
      <c r="N131" s="22"/>
      <c r="O131" s="22"/>
      <c r="P131" s="22"/>
      <c r="Q131" s="22"/>
      <c r="R131" s="22"/>
      <c r="S131" s="22"/>
      <c r="Z131" s="22"/>
      <c r="AA131" s="22"/>
      <c r="AB131" s="22"/>
      <c r="AC131" s="22"/>
      <c r="AD131" s="22"/>
      <c r="AE131" s="22"/>
      <c r="AF131" s="22"/>
      <c r="AG131" s="22"/>
      <c r="AH131" s="22"/>
      <c r="AI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row>
    <row r="132" spans="1:81" x14ac:dyDescent="0.2">
      <c r="A132" s="34"/>
      <c r="B132" s="22"/>
      <c r="C132" s="22"/>
      <c r="D132" s="22"/>
      <c r="E132" s="22"/>
      <c r="F132" s="22"/>
      <c r="G132" s="22"/>
      <c r="H132" s="22"/>
      <c r="I132" s="22"/>
      <c r="J132" s="157"/>
      <c r="K132" s="157"/>
      <c r="L132" s="22"/>
      <c r="M132" s="22"/>
      <c r="N132" s="22"/>
      <c r="O132" s="22"/>
      <c r="P132" s="22"/>
      <c r="Q132" s="22"/>
      <c r="R132" s="22"/>
      <c r="S132" s="22"/>
      <c r="Z132" s="22"/>
      <c r="AA132" s="22"/>
      <c r="AB132" s="22"/>
      <c r="AC132" s="22"/>
      <c r="AD132" s="22"/>
      <c r="AE132" s="22"/>
      <c r="AF132" s="22"/>
      <c r="AG132" s="22"/>
      <c r="AH132" s="22"/>
      <c r="AI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row>
    <row r="133" spans="1:81" x14ac:dyDescent="0.2">
      <c r="A133" s="34"/>
      <c r="B133" s="22"/>
      <c r="C133" s="22"/>
      <c r="D133" s="22"/>
      <c r="E133" s="22"/>
      <c r="F133" s="22"/>
      <c r="G133" s="22"/>
      <c r="H133" s="22"/>
      <c r="I133" s="22"/>
      <c r="J133" s="157"/>
      <c r="K133" s="157"/>
      <c r="L133" s="22"/>
      <c r="M133" s="22"/>
      <c r="N133" s="22"/>
      <c r="O133" s="22"/>
      <c r="P133" s="22"/>
      <c r="Q133" s="22"/>
      <c r="R133" s="22"/>
      <c r="S133" s="22"/>
      <c r="Z133" s="22"/>
      <c r="AA133" s="22"/>
      <c r="AB133" s="22"/>
      <c r="AC133" s="22"/>
      <c r="AD133" s="22"/>
      <c r="AE133" s="22"/>
      <c r="AF133" s="22"/>
      <c r="AG133" s="22"/>
      <c r="AH133" s="22"/>
      <c r="AI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row>
    <row r="134" spans="1:81" x14ac:dyDescent="0.2">
      <c r="A134" s="34"/>
      <c r="B134" s="22"/>
      <c r="C134" s="22"/>
      <c r="D134" s="22"/>
      <c r="E134" s="22"/>
      <c r="F134" s="22"/>
      <c r="G134" s="22"/>
      <c r="H134" s="22"/>
      <c r="I134" s="22"/>
      <c r="J134" s="157"/>
      <c r="K134" s="157"/>
      <c r="L134" s="22"/>
      <c r="M134" s="22"/>
      <c r="N134" s="22"/>
      <c r="O134" s="22"/>
      <c r="P134" s="22"/>
      <c r="Q134" s="22"/>
      <c r="R134" s="22"/>
      <c r="S134" s="22"/>
      <c r="Z134" s="22"/>
      <c r="AA134" s="22"/>
      <c r="AB134" s="22"/>
      <c r="AC134" s="22"/>
      <c r="AD134" s="22"/>
      <c r="AE134" s="22"/>
      <c r="AF134" s="22"/>
      <c r="AG134" s="22"/>
      <c r="AH134" s="22"/>
      <c r="AI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row>
    <row r="135" spans="1:81" x14ac:dyDescent="0.2">
      <c r="A135" s="36"/>
      <c r="B135" s="22"/>
      <c r="C135" s="22"/>
      <c r="D135" s="22"/>
      <c r="E135" s="22"/>
      <c r="F135" s="22"/>
      <c r="G135" s="22"/>
      <c r="H135" s="22"/>
      <c r="I135" s="22"/>
      <c r="J135" s="157"/>
      <c r="K135" s="157"/>
      <c r="L135" s="22"/>
      <c r="M135" s="22"/>
      <c r="N135" s="22"/>
      <c r="O135" s="22"/>
      <c r="P135" s="22"/>
      <c r="Q135" s="22"/>
      <c r="R135" s="22"/>
      <c r="S135" s="22"/>
      <c r="Z135" s="22"/>
      <c r="AA135" s="22"/>
      <c r="AB135" s="22"/>
      <c r="AC135" s="22"/>
      <c r="AD135" s="22"/>
      <c r="AE135" s="22"/>
      <c r="AF135" s="22"/>
      <c r="AG135" s="22"/>
      <c r="AH135" s="22"/>
      <c r="AI135" s="22"/>
      <c r="AL135" s="158"/>
      <c r="AM135" s="158"/>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row>
    <row r="136" spans="1:81" x14ac:dyDescent="0.2">
      <c r="A136" s="36"/>
      <c r="B136" s="22"/>
      <c r="C136" s="22"/>
      <c r="D136" s="22"/>
      <c r="E136" s="22"/>
      <c r="F136" s="22"/>
      <c r="G136" s="22"/>
      <c r="H136" s="22"/>
      <c r="I136" s="22"/>
      <c r="J136" s="157"/>
      <c r="K136" s="157"/>
      <c r="L136" s="22"/>
      <c r="M136" s="22"/>
      <c r="N136" s="22"/>
      <c r="O136" s="22"/>
      <c r="P136" s="22"/>
      <c r="Q136" s="22"/>
      <c r="R136" s="22"/>
      <c r="S136" s="22"/>
      <c r="Z136" s="22"/>
      <c r="AA136" s="22"/>
      <c r="AB136" s="22"/>
      <c r="AC136" s="22"/>
      <c r="AD136" s="22"/>
      <c r="AE136" s="22"/>
      <c r="AF136" s="22"/>
      <c r="AG136" s="22"/>
      <c r="AH136" s="22"/>
      <c r="AI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row>
    <row r="137" spans="1:81" x14ac:dyDescent="0.2">
      <c r="A137" s="36"/>
      <c r="B137" s="22"/>
      <c r="C137" s="22"/>
      <c r="D137" s="22"/>
      <c r="E137" s="22"/>
      <c r="F137" s="22"/>
      <c r="G137" s="22"/>
      <c r="H137" s="22"/>
      <c r="I137" s="22"/>
      <c r="J137" s="157"/>
      <c r="K137" s="157"/>
      <c r="L137" s="22"/>
      <c r="M137" s="22"/>
      <c r="N137" s="22"/>
      <c r="O137" s="22"/>
      <c r="P137" s="22"/>
      <c r="Q137" s="22"/>
      <c r="R137" s="22"/>
      <c r="S137" s="22"/>
      <c r="Z137" s="22"/>
      <c r="AA137" s="22"/>
      <c r="AB137" s="22"/>
      <c r="AC137" s="22"/>
      <c r="AD137" s="22"/>
      <c r="AE137" s="22"/>
      <c r="AF137" s="22"/>
      <c r="AG137" s="22"/>
      <c r="AH137" s="22"/>
      <c r="AI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row>
    <row r="138" spans="1:81" x14ac:dyDescent="0.2">
      <c r="A138" s="36"/>
      <c r="B138" s="22"/>
      <c r="C138" s="22"/>
      <c r="D138" s="22"/>
      <c r="E138" s="22"/>
      <c r="F138" s="22"/>
      <c r="G138" s="22"/>
      <c r="H138" s="22"/>
      <c r="I138" s="22"/>
      <c r="J138" s="157"/>
      <c r="K138" s="157"/>
      <c r="L138" s="22"/>
      <c r="M138" s="22"/>
      <c r="N138" s="22"/>
      <c r="O138" s="22"/>
      <c r="P138" s="22"/>
      <c r="Q138" s="22"/>
      <c r="R138" s="22"/>
      <c r="S138" s="22"/>
      <c r="Z138" s="22"/>
      <c r="AA138" s="22"/>
      <c r="AB138" s="22"/>
      <c r="AC138" s="22"/>
      <c r="AD138" s="22"/>
      <c r="AE138" s="22"/>
      <c r="AF138" s="22"/>
      <c r="AG138" s="22"/>
      <c r="AH138" s="22"/>
      <c r="AI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row>
    <row r="139" spans="1:81" x14ac:dyDescent="0.2">
      <c r="A139" s="36"/>
      <c r="B139" s="22"/>
      <c r="C139" s="22"/>
      <c r="D139" s="22"/>
      <c r="E139" s="22"/>
      <c r="F139" s="22"/>
      <c r="G139" s="22"/>
      <c r="H139" s="22"/>
      <c r="I139" s="22"/>
      <c r="J139" s="157"/>
      <c r="K139" s="157"/>
      <c r="L139" s="22"/>
      <c r="M139" s="22"/>
      <c r="N139" s="22"/>
      <c r="O139" s="22"/>
      <c r="P139" s="22"/>
      <c r="Q139" s="22"/>
      <c r="R139" s="22"/>
      <c r="S139" s="22"/>
      <c r="Z139" s="22"/>
      <c r="AA139" s="22"/>
      <c r="AB139" s="22"/>
      <c r="AC139" s="22"/>
      <c r="AD139" s="22"/>
      <c r="AE139" s="22"/>
      <c r="AF139" s="22"/>
      <c r="AG139" s="22"/>
      <c r="AH139" s="22"/>
      <c r="AI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row>
    <row r="140" spans="1:81" x14ac:dyDescent="0.2">
      <c r="A140" s="22"/>
      <c r="B140" s="22"/>
      <c r="C140" s="22"/>
      <c r="D140" s="22"/>
      <c r="E140" s="22"/>
      <c r="F140" s="22"/>
      <c r="G140" s="22"/>
      <c r="H140" s="22"/>
      <c r="I140" s="22"/>
      <c r="J140" s="157"/>
      <c r="K140" s="157"/>
      <c r="L140" s="22"/>
      <c r="M140" s="22"/>
      <c r="N140" s="22"/>
      <c r="O140" s="22"/>
      <c r="P140" s="22"/>
      <c r="Q140" s="22"/>
      <c r="R140" s="22"/>
      <c r="S140" s="22"/>
      <c r="Z140" s="22"/>
      <c r="AA140" s="22"/>
      <c r="AB140" s="22"/>
      <c r="AC140" s="22"/>
      <c r="AD140" s="22"/>
      <c r="AE140" s="22"/>
      <c r="AF140" s="22"/>
      <c r="AG140" s="22"/>
      <c r="AH140" s="22"/>
      <c r="AI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row>
    <row r="141" spans="1:81" x14ac:dyDescent="0.2">
      <c r="A141" s="22"/>
      <c r="B141" s="22"/>
      <c r="C141" s="22"/>
      <c r="D141" s="22"/>
      <c r="E141" s="22"/>
      <c r="F141" s="22"/>
      <c r="G141" s="22"/>
      <c r="H141" s="22"/>
      <c r="I141" s="22"/>
      <c r="J141" s="157"/>
      <c r="K141" s="157"/>
      <c r="L141" s="22"/>
      <c r="M141" s="22"/>
      <c r="N141" s="22"/>
      <c r="O141" s="22"/>
      <c r="P141" s="22"/>
      <c r="Q141" s="22"/>
      <c r="R141" s="22"/>
      <c r="S141" s="22"/>
      <c r="Z141" s="22"/>
      <c r="AA141" s="22"/>
      <c r="AB141" s="22"/>
      <c r="AC141" s="22"/>
      <c r="AD141" s="22"/>
      <c r="AE141" s="22"/>
      <c r="AF141" s="22"/>
      <c r="AG141" s="22"/>
      <c r="AH141" s="22"/>
      <c r="AI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row>
    <row r="142" spans="1:81" x14ac:dyDescent="0.2">
      <c r="A142" s="22"/>
      <c r="B142" s="22"/>
      <c r="C142" s="22"/>
      <c r="D142" s="22"/>
      <c r="E142" s="22"/>
      <c r="F142" s="22"/>
      <c r="G142" s="22"/>
      <c r="H142" s="22"/>
      <c r="I142" s="22"/>
      <c r="J142" s="157"/>
      <c r="K142" s="157"/>
      <c r="L142" s="22"/>
      <c r="M142" s="22"/>
      <c r="N142" s="22"/>
      <c r="O142" s="22"/>
      <c r="P142" s="22"/>
      <c r="Q142" s="22"/>
      <c r="R142" s="22"/>
      <c r="S142" s="22"/>
      <c r="Z142" s="22"/>
      <c r="AA142" s="22"/>
      <c r="AB142" s="22"/>
      <c r="AC142" s="22"/>
      <c r="AD142" s="22"/>
      <c r="AE142" s="22"/>
      <c r="AF142" s="22"/>
      <c r="AG142" s="22"/>
      <c r="AH142" s="22"/>
      <c r="AI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row>
    <row r="143" spans="1:81" x14ac:dyDescent="0.2">
      <c r="A143" s="22"/>
      <c r="B143" s="22"/>
      <c r="C143" s="22"/>
      <c r="D143" s="22"/>
      <c r="E143" s="22"/>
      <c r="F143" s="22"/>
      <c r="G143" s="22"/>
      <c r="H143" s="22"/>
      <c r="I143" s="22"/>
      <c r="J143" s="157"/>
      <c r="K143" s="157"/>
      <c r="L143" s="22"/>
      <c r="M143" s="22"/>
      <c r="N143" s="22"/>
      <c r="O143" s="22"/>
      <c r="P143" s="22"/>
      <c r="Q143" s="22"/>
      <c r="R143" s="22"/>
      <c r="S143" s="22"/>
      <c r="Z143" s="22"/>
      <c r="AA143" s="22"/>
      <c r="AB143" s="22"/>
      <c r="AC143" s="22"/>
      <c r="AD143" s="22"/>
      <c r="AE143" s="22"/>
      <c r="AF143" s="22"/>
      <c r="AG143" s="22"/>
      <c r="AH143" s="22"/>
      <c r="AI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row>
    <row r="144" spans="1:81" x14ac:dyDescent="0.2">
      <c r="A144" s="22"/>
      <c r="B144" s="22"/>
      <c r="C144" s="63"/>
      <c r="D144" s="63"/>
      <c r="E144" s="63"/>
      <c r="F144" s="63"/>
      <c r="G144" s="63"/>
      <c r="H144" s="63"/>
      <c r="I144" s="63"/>
      <c r="J144" s="157"/>
      <c r="K144" s="157"/>
      <c r="L144" s="22"/>
      <c r="M144" s="22"/>
      <c r="N144" s="22"/>
      <c r="O144" s="22"/>
      <c r="P144" s="22"/>
      <c r="Q144" s="22"/>
      <c r="R144" s="22"/>
      <c r="S144" s="22"/>
      <c r="Z144" s="22"/>
      <c r="AA144" s="22"/>
      <c r="AB144" s="22"/>
      <c r="AC144" s="22"/>
      <c r="AD144" s="22"/>
      <c r="AE144" s="22"/>
      <c r="AF144" s="22"/>
      <c r="AG144" s="22"/>
      <c r="AH144" s="22"/>
      <c r="AI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row>
    <row r="145" spans="1:81" x14ac:dyDescent="0.2">
      <c r="A145" s="22"/>
      <c r="B145" s="22"/>
      <c r="C145" s="22"/>
      <c r="D145" s="22"/>
      <c r="E145" s="22"/>
      <c r="F145" s="22"/>
      <c r="G145" s="22"/>
      <c r="H145" s="22"/>
      <c r="I145" s="22"/>
      <c r="J145" s="22"/>
      <c r="K145" s="22"/>
      <c r="L145" s="22"/>
      <c r="M145" s="22"/>
      <c r="N145" s="22"/>
      <c r="O145" s="22"/>
      <c r="P145" s="22"/>
      <c r="Q145" s="22"/>
      <c r="R145" s="22"/>
      <c r="S145" s="22"/>
      <c r="Z145" s="22"/>
      <c r="AA145" s="22"/>
      <c r="AB145" s="22"/>
      <c r="AC145" s="22"/>
      <c r="AD145" s="22"/>
      <c r="AE145" s="22"/>
      <c r="AF145" s="22"/>
      <c r="AG145" s="22"/>
      <c r="AH145" s="22"/>
      <c r="AI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row>
    <row r="146" spans="1:81" x14ac:dyDescent="0.2">
      <c r="A146" s="22"/>
      <c r="B146" s="22"/>
      <c r="C146" s="22"/>
      <c r="D146" s="22"/>
      <c r="E146" s="22"/>
      <c r="F146" s="22"/>
      <c r="G146" s="22"/>
      <c r="H146" s="22"/>
      <c r="I146" s="22"/>
      <c r="J146" s="157"/>
      <c r="K146" s="157"/>
      <c r="L146" s="22"/>
      <c r="M146" s="22"/>
      <c r="N146" s="22"/>
      <c r="O146" s="22"/>
      <c r="P146" s="22"/>
      <c r="Q146" s="22"/>
      <c r="R146" s="22"/>
      <c r="S146" s="22"/>
      <c r="Z146" s="22"/>
      <c r="AA146" s="22"/>
      <c r="AB146" s="22"/>
      <c r="AC146" s="22"/>
      <c r="AD146" s="22"/>
      <c r="AE146" s="22"/>
      <c r="AF146" s="22"/>
      <c r="AG146" s="22"/>
      <c r="AH146" s="22"/>
      <c r="AI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row>
    <row r="147" spans="1:81" x14ac:dyDescent="0.2">
      <c r="A147" s="22"/>
      <c r="B147" s="22"/>
      <c r="C147" s="22"/>
      <c r="D147" s="22"/>
      <c r="E147" s="22"/>
      <c r="F147" s="22"/>
      <c r="G147" s="22"/>
      <c r="H147" s="22"/>
      <c r="I147" s="22"/>
      <c r="J147" s="157"/>
      <c r="K147" s="157"/>
      <c r="L147" s="22"/>
      <c r="M147" s="22"/>
      <c r="N147" s="22"/>
      <c r="O147" s="22"/>
      <c r="P147" s="22"/>
      <c r="Q147" s="22"/>
      <c r="R147" s="22"/>
      <c r="S147" s="22"/>
      <c r="Z147" s="22"/>
      <c r="AA147" s="22"/>
      <c r="AB147" s="22"/>
      <c r="AC147" s="22"/>
      <c r="AD147" s="22"/>
      <c r="AE147" s="22"/>
      <c r="AF147" s="22"/>
      <c r="AG147" s="22"/>
      <c r="AH147" s="22"/>
      <c r="AI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row>
    <row r="148" spans="1:81" x14ac:dyDescent="0.2">
      <c r="A148" s="22"/>
      <c r="B148" s="22"/>
      <c r="C148" s="22"/>
      <c r="D148" s="22"/>
      <c r="E148" s="22"/>
      <c r="F148" s="22"/>
      <c r="G148" s="22"/>
      <c r="H148" s="22"/>
      <c r="I148" s="22"/>
      <c r="J148" s="157"/>
      <c r="K148" s="157"/>
      <c r="L148" s="22"/>
      <c r="M148" s="22"/>
      <c r="N148" s="22"/>
      <c r="O148" s="22"/>
      <c r="P148" s="22"/>
      <c r="Q148" s="22"/>
      <c r="R148" s="22"/>
      <c r="S148" s="22"/>
      <c r="Z148" s="22"/>
      <c r="AA148" s="22"/>
      <c r="AB148" s="22"/>
      <c r="AC148" s="22"/>
      <c r="AD148" s="22"/>
      <c r="AE148" s="22"/>
      <c r="AF148" s="22"/>
      <c r="AG148" s="22"/>
      <c r="AH148" s="22"/>
      <c r="AI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row>
    <row r="149" spans="1:81" x14ac:dyDescent="0.2">
      <c r="A149" s="22"/>
      <c r="B149" s="22"/>
      <c r="C149" s="22"/>
      <c r="D149" s="22"/>
      <c r="E149" s="22"/>
      <c r="F149" s="22"/>
      <c r="G149" s="22"/>
      <c r="H149" s="22"/>
      <c r="I149" s="22"/>
      <c r="J149" s="157"/>
      <c r="K149" s="157"/>
      <c r="L149" s="22"/>
      <c r="M149" s="22"/>
      <c r="N149" s="22"/>
      <c r="O149" s="22"/>
      <c r="P149" s="22"/>
      <c r="Q149" s="22"/>
      <c r="R149" s="22"/>
      <c r="S149" s="22"/>
      <c r="Z149" s="22"/>
      <c r="AA149" s="22"/>
      <c r="AB149" s="22"/>
      <c r="AC149" s="22"/>
      <c r="AD149" s="22"/>
      <c r="AE149" s="22"/>
      <c r="AF149" s="22"/>
      <c r="AG149" s="22"/>
      <c r="AH149" s="22"/>
      <c r="AI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row>
    <row r="150" spans="1:81" x14ac:dyDescent="0.2">
      <c r="A150" s="22"/>
      <c r="B150" s="22"/>
      <c r="C150" s="22"/>
      <c r="D150" s="22"/>
      <c r="E150" s="22"/>
      <c r="F150" s="22"/>
      <c r="G150" s="22"/>
      <c r="H150" s="22"/>
      <c r="I150" s="22"/>
      <c r="J150" s="157"/>
      <c r="K150" s="157"/>
      <c r="L150" s="22"/>
      <c r="M150" s="22"/>
      <c r="N150" s="22"/>
      <c r="O150" s="22"/>
      <c r="P150" s="22"/>
      <c r="Q150" s="22"/>
      <c r="R150" s="22"/>
      <c r="S150" s="22"/>
      <c r="Z150" s="22"/>
      <c r="AA150" s="22"/>
      <c r="AB150" s="22"/>
      <c r="AC150" s="22"/>
      <c r="AD150" s="22"/>
      <c r="AE150" s="22"/>
      <c r="AF150" s="22"/>
      <c r="AG150" s="22"/>
      <c r="AH150" s="22"/>
      <c r="AI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row>
    <row r="151" spans="1:81" x14ac:dyDescent="0.2">
      <c r="A151" s="22"/>
      <c r="B151" s="22"/>
      <c r="C151" s="22"/>
      <c r="D151" s="22"/>
      <c r="E151" s="22"/>
      <c r="F151" s="22"/>
      <c r="G151" s="22"/>
      <c r="H151" s="22"/>
      <c r="I151" s="22"/>
      <c r="J151" s="157"/>
      <c r="K151" s="157"/>
      <c r="L151" s="22"/>
      <c r="M151" s="22"/>
      <c r="N151" s="22"/>
      <c r="O151" s="22"/>
      <c r="P151" s="22"/>
      <c r="Q151" s="22"/>
      <c r="R151" s="22"/>
      <c r="S151" s="22"/>
      <c r="Z151" s="22"/>
      <c r="AA151" s="22"/>
      <c r="AB151" s="22"/>
      <c r="AC151" s="22"/>
      <c r="AD151" s="22"/>
      <c r="AE151" s="22"/>
      <c r="AF151" s="22"/>
      <c r="AG151" s="22"/>
      <c r="AH151" s="22"/>
      <c r="AI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row>
    <row r="152" spans="1:81" x14ac:dyDescent="0.2">
      <c r="A152" s="22"/>
      <c r="B152" s="22"/>
      <c r="C152" s="22"/>
      <c r="D152" s="22"/>
      <c r="E152" s="22"/>
      <c r="F152" s="22"/>
      <c r="G152" s="22"/>
      <c r="H152" s="22"/>
      <c r="I152" s="22"/>
      <c r="J152" s="22"/>
      <c r="K152" s="22"/>
      <c r="L152" s="22"/>
      <c r="M152" s="22"/>
      <c r="N152" s="22"/>
      <c r="O152" s="22"/>
      <c r="P152" s="22"/>
      <c r="Q152" s="22"/>
      <c r="R152" s="22"/>
      <c r="S152" s="22"/>
      <c r="Z152" s="22"/>
      <c r="AA152" s="22"/>
      <c r="AB152" s="22"/>
      <c r="AC152" s="22"/>
      <c r="AD152" s="22"/>
      <c r="AE152" s="22"/>
      <c r="AF152" s="22"/>
      <c r="AG152" s="22"/>
      <c r="AH152" s="22"/>
      <c r="AI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row>
    <row r="153" spans="1:81" x14ac:dyDescent="0.2">
      <c r="A153" s="22"/>
      <c r="B153" s="22"/>
      <c r="C153" s="22"/>
      <c r="D153" s="22"/>
      <c r="E153" s="22"/>
      <c r="F153" s="22"/>
      <c r="G153" s="22"/>
      <c r="H153" s="22"/>
      <c r="I153" s="22"/>
      <c r="J153" s="157"/>
      <c r="K153" s="157"/>
      <c r="L153" s="22"/>
      <c r="M153" s="22"/>
      <c r="N153" s="22"/>
      <c r="O153" s="22"/>
      <c r="P153" s="22"/>
      <c r="Q153" s="22"/>
      <c r="R153" s="22"/>
      <c r="S153" s="22"/>
      <c r="Z153" s="22"/>
      <c r="AA153" s="22"/>
      <c r="AB153" s="22"/>
      <c r="AC153" s="22"/>
      <c r="AD153" s="22"/>
      <c r="AE153" s="22"/>
      <c r="AF153" s="22"/>
      <c r="AG153" s="22"/>
      <c r="AH153" s="22"/>
      <c r="AI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row>
    <row r="154" spans="1:81" x14ac:dyDescent="0.2">
      <c r="A154" s="22"/>
      <c r="B154" s="22"/>
      <c r="C154" s="22"/>
      <c r="D154" s="22"/>
      <c r="E154" s="22"/>
      <c r="F154" s="22"/>
      <c r="G154" s="22"/>
      <c r="H154" s="22"/>
      <c r="I154" s="22"/>
      <c r="J154" s="157"/>
      <c r="K154" s="157"/>
      <c r="L154" s="22"/>
      <c r="M154" s="22"/>
      <c r="N154" s="22"/>
      <c r="O154" s="22"/>
      <c r="P154" s="22"/>
      <c r="Q154" s="22"/>
      <c r="R154" s="22"/>
      <c r="S154" s="22"/>
      <c r="Z154" s="22"/>
      <c r="AA154" s="22"/>
      <c r="AB154" s="22"/>
      <c r="AC154" s="22"/>
      <c r="AD154" s="22"/>
      <c r="AE154" s="22"/>
      <c r="AF154" s="22"/>
      <c r="AG154" s="22"/>
      <c r="AH154" s="22"/>
      <c r="AI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row>
    <row r="155" spans="1:81" x14ac:dyDescent="0.2">
      <c r="A155" s="22"/>
      <c r="B155" s="22"/>
      <c r="C155" s="22"/>
      <c r="D155" s="22"/>
      <c r="E155" s="22"/>
      <c r="F155" s="22"/>
      <c r="G155" s="22"/>
      <c r="H155" s="22"/>
      <c r="I155" s="22"/>
      <c r="J155" s="157"/>
      <c r="K155" s="157"/>
      <c r="L155" s="22"/>
      <c r="M155" s="22"/>
      <c r="N155" s="22"/>
      <c r="O155" s="22"/>
      <c r="P155" s="22"/>
      <c r="Q155" s="22"/>
      <c r="R155" s="22"/>
      <c r="S155" s="22"/>
      <c r="Z155" s="22"/>
      <c r="AA155" s="22"/>
      <c r="AB155" s="22"/>
      <c r="AC155" s="22"/>
      <c r="AD155" s="22"/>
      <c r="AE155" s="22"/>
      <c r="AF155" s="22"/>
      <c r="AG155" s="22"/>
      <c r="AH155" s="22"/>
      <c r="AI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row>
    <row r="156" spans="1:81" x14ac:dyDescent="0.2">
      <c r="A156" s="22"/>
      <c r="B156" s="22"/>
      <c r="C156" s="22"/>
      <c r="D156" s="22"/>
      <c r="E156" s="22"/>
      <c r="F156" s="22"/>
      <c r="G156" s="22"/>
      <c r="H156" s="22"/>
      <c r="I156" s="22"/>
      <c r="J156" s="157"/>
      <c r="K156" s="157"/>
      <c r="L156" s="22"/>
      <c r="M156" s="22"/>
      <c r="N156" s="22"/>
      <c r="O156" s="22"/>
      <c r="P156" s="22"/>
      <c r="Q156" s="22"/>
      <c r="R156" s="22"/>
      <c r="S156" s="22"/>
      <c r="Z156" s="22"/>
      <c r="AA156" s="22"/>
      <c r="AB156" s="22"/>
      <c r="AC156" s="22"/>
      <c r="AD156" s="22"/>
      <c r="AE156" s="22"/>
      <c r="AF156" s="22"/>
      <c r="AG156" s="22"/>
      <c r="AH156" s="22"/>
      <c r="AI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row>
    <row r="157" spans="1:81" x14ac:dyDescent="0.2">
      <c r="A157" s="36"/>
      <c r="B157" s="22"/>
      <c r="C157" s="22"/>
      <c r="D157" s="22"/>
      <c r="E157" s="22"/>
      <c r="F157" s="22"/>
      <c r="G157" s="22"/>
      <c r="H157" s="22"/>
      <c r="I157" s="22"/>
      <c r="J157" s="157"/>
      <c r="K157" s="157"/>
      <c r="L157" s="22"/>
      <c r="M157" s="22"/>
      <c r="N157" s="22"/>
      <c r="O157" s="22"/>
      <c r="P157" s="22"/>
      <c r="Q157" s="22"/>
      <c r="R157" s="22"/>
      <c r="S157" s="22"/>
      <c r="Z157" s="22"/>
      <c r="AA157" s="22"/>
      <c r="AB157" s="22"/>
      <c r="AC157" s="22"/>
      <c r="AD157" s="22"/>
      <c r="AE157" s="22"/>
      <c r="AF157" s="22"/>
      <c r="AG157" s="22"/>
      <c r="AH157" s="22"/>
      <c r="AI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row>
    <row r="158" spans="1:81" x14ac:dyDescent="0.2">
      <c r="A158" s="36"/>
      <c r="B158" s="22"/>
      <c r="C158" s="22"/>
      <c r="D158" s="22"/>
      <c r="E158" s="22"/>
      <c r="F158" s="22"/>
      <c r="G158" s="22"/>
      <c r="H158" s="22"/>
      <c r="I158" s="22"/>
      <c r="J158" s="157"/>
      <c r="K158" s="157"/>
      <c r="L158" s="22"/>
      <c r="M158" s="22"/>
      <c r="N158" s="22"/>
      <c r="O158" s="22"/>
      <c r="P158" s="22"/>
      <c r="Q158" s="22"/>
      <c r="R158" s="22"/>
      <c r="S158" s="22"/>
      <c r="Z158" s="22"/>
      <c r="AA158" s="22"/>
      <c r="AB158" s="22"/>
      <c r="AC158" s="22"/>
      <c r="AD158" s="22"/>
      <c r="AE158" s="22"/>
      <c r="AF158" s="22"/>
      <c r="AG158" s="22"/>
      <c r="AH158" s="22"/>
      <c r="AI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row>
    <row r="159" spans="1:81" x14ac:dyDescent="0.2">
      <c r="A159" s="36"/>
      <c r="B159" s="22"/>
      <c r="C159" s="22"/>
      <c r="D159" s="22"/>
      <c r="E159" s="22"/>
      <c r="F159" s="22"/>
      <c r="G159" s="22"/>
      <c r="H159" s="22"/>
      <c r="I159" s="22"/>
      <c r="J159" s="157"/>
      <c r="K159" s="157"/>
      <c r="L159" s="22"/>
      <c r="M159" s="22"/>
      <c r="N159" s="22"/>
      <c r="O159" s="22"/>
      <c r="P159" s="22"/>
      <c r="Q159" s="22"/>
      <c r="R159" s="22"/>
      <c r="S159" s="22"/>
      <c r="Z159" s="22"/>
      <c r="AA159" s="22"/>
      <c r="AB159" s="22"/>
      <c r="AC159" s="22"/>
      <c r="AD159" s="22"/>
      <c r="AE159" s="22"/>
      <c r="AF159" s="22"/>
      <c r="AG159" s="22"/>
      <c r="AH159" s="22"/>
      <c r="AI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row>
    <row r="160" spans="1:81" x14ac:dyDescent="0.2">
      <c r="A160" s="36"/>
      <c r="B160" s="22"/>
      <c r="C160" s="22"/>
      <c r="D160" s="22"/>
      <c r="E160" s="22"/>
      <c r="F160" s="22"/>
      <c r="G160" s="22"/>
      <c r="H160" s="22"/>
      <c r="I160" s="22"/>
      <c r="J160" s="157"/>
      <c r="K160" s="157"/>
      <c r="L160" s="22"/>
      <c r="M160" s="22"/>
      <c r="N160" s="22"/>
      <c r="O160" s="22"/>
      <c r="P160" s="22"/>
      <c r="Q160" s="22"/>
      <c r="R160" s="22"/>
      <c r="S160" s="22"/>
      <c r="Z160" s="22"/>
      <c r="AA160" s="22"/>
      <c r="AB160" s="22"/>
      <c r="AC160" s="22"/>
      <c r="AD160" s="22"/>
      <c r="AE160" s="22"/>
      <c r="AF160" s="22"/>
      <c r="AG160" s="22"/>
      <c r="AH160" s="22"/>
      <c r="AI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row>
    <row r="161" spans="1:81" x14ac:dyDescent="0.2">
      <c r="A161" s="36"/>
      <c r="B161" s="22"/>
      <c r="C161" s="22"/>
      <c r="D161" s="22"/>
      <c r="E161" s="22"/>
      <c r="F161" s="22"/>
      <c r="G161" s="22"/>
      <c r="H161" s="22"/>
      <c r="I161" s="22"/>
      <c r="J161" s="157"/>
      <c r="K161" s="157"/>
      <c r="L161" s="22"/>
      <c r="M161" s="22"/>
      <c r="N161" s="22"/>
      <c r="O161" s="22"/>
      <c r="P161" s="22"/>
      <c r="Q161" s="22"/>
      <c r="R161" s="22"/>
      <c r="S161" s="22"/>
      <c r="Z161" s="22"/>
      <c r="AA161" s="22"/>
      <c r="AB161" s="22"/>
      <c r="AC161" s="22"/>
      <c r="AD161" s="22"/>
      <c r="AE161" s="22"/>
      <c r="AF161" s="22"/>
      <c r="AG161" s="22"/>
      <c r="AH161" s="22"/>
      <c r="AI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row>
    <row r="162" spans="1:81" x14ac:dyDescent="0.2">
      <c r="A162" s="36"/>
      <c r="B162" s="22"/>
      <c r="C162" s="22"/>
      <c r="D162" s="22"/>
      <c r="E162" s="22"/>
      <c r="F162" s="22"/>
      <c r="G162" s="22"/>
      <c r="H162" s="22"/>
      <c r="I162" s="22"/>
      <c r="J162" s="157"/>
      <c r="K162" s="157"/>
      <c r="L162" s="22"/>
      <c r="M162" s="22"/>
      <c r="N162" s="22"/>
      <c r="O162" s="22"/>
      <c r="P162" s="22"/>
      <c r="Q162" s="22"/>
      <c r="R162" s="22"/>
      <c r="S162" s="22"/>
      <c r="Z162" s="22"/>
      <c r="AA162" s="22"/>
      <c r="AB162" s="22"/>
      <c r="AC162" s="22"/>
      <c r="AD162" s="22"/>
      <c r="AE162" s="22"/>
      <c r="AF162" s="22"/>
      <c r="AG162" s="22"/>
      <c r="AH162" s="22"/>
      <c r="AI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row>
    <row r="163" spans="1:81" x14ac:dyDescent="0.2">
      <c r="A163" s="36"/>
      <c r="B163" s="22"/>
      <c r="C163" s="22"/>
      <c r="D163" s="22"/>
      <c r="E163" s="22"/>
      <c r="F163" s="22"/>
      <c r="G163" s="22"/>
      <c r="H163" s="22"/>
      <c r="I163" s="22"/>
      <c r="J163" s="157"/>
      <c r="K163" s="157"/>
      <c r="L163" s="22"/>
      <c r="M163" s="22"/>
      <c r="N163" s="22"/>
      <c r="O163" s="22"/>
      <c r="P163" s="22"/>
      <c r="Q163" s="22"/>
      <c r="R163" s="22"/>
      <c r="S163" s="22"/>
      <c r="Z163" s="22"/>
      <c r="AA163" s="22"/>
      <c r="AB163" s="22"/>
      <c r="AC163" s="22"/>
      <c r="AD163" s="22"/>
      <c r="AE163" s="22"/>
      <c r="AF163" s="22"/>
      <c r="AG163" s="22"/>
      <c r="AH163" s="22"/>
      <c r="AI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row>
    <row r="164" spans="1:81" x14ac:dyDescent="0.2">
      <c r="A164" s="36"/>
      <c r="B164" s="22"/>
      <c r="C164" s="22"/>
      <c r="D164" s="22"/>
      <c r="E164" s="22"/>
      <c r="F164" s="22"/>
      <c r="G164" s="22"/>
      <c r="H164" s="22"/>
      <c r="I164" s="22"/>
      <c r="J164" s="157"/>
      <c r="K164" s="157"/>
      <c r="L164" s="22"/>
      <c r="M164" s="22"/>
      <c r="N164" s="22"/>
      <c r="O164" s="22"/>
      <c r="P164" s="22"/>
      <c r="Q164" s="22"/>
      <c r="R164" s="22"/>
      <c r="S164" s="22"/>
      <c r="Z164" s="22"/>
      <c r="AA164" s="22"/>
      <c r="AB164" s="22"/>
      <c r="AC164" s="22"/>
      <c r="AD164" s="22"/>
      <c r="AE164" s="22"/>
      <c r="AF164" s="22"/>
      <c r="AG164" s="22"/>
      <c r="AH164" s="22"/>
      <c r="AI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row>
    <row r="165" spans="1:81" x14ac:dyDescent="0.2">
      <c r="A165" s="36"/>
      <c r="B165" s="22"/>
      <c r="C165" s="22"/>
      <c r="D165" s="22"/>
      <c r="E165" s="22"/>
      <c r="F165" s="22"/>
      <c r="G165" s="22"/>
      <c r="H165" s="22"/>
      <c r="I165" s="22"/>
      <c r="J165" s="157"/>
      <c r="K165" s="157"/>
      <c r="L165" s="22"/>
      <c r="M165" s="22"/>
      <c r="N165" s="22"/>
      <c r="O165" s="22"/>
      <c r="P165" s="22"/>
      <c r="Q165" s="22"/>
      <c r="R165" s="22"/>
      <c r="S165" s="22"/>
      <c r="Z165" s="22"/>
      <c r="AA165" s="22"/>
      <c r="AB165" s="22"/>
      <c r="AC165" s="22"/>
      <c r="AD165" s="22"/>
      <c r="AE165" s="22"/>
      <c r="AF165" s="22"/>
      <c r="AG165" s="22"/>
      <c r="AH165" s="22"/>
      <c r="AI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row>
    <row r="166" spans="1:81" x14ac:dyDescent="0.2">
      <c r="A166" s="22"/>
      <c r="B166" s="22"/>
      <c r="C166" s="22"/>
      <c r="D166" s="22"/>
      <c r="E166" s="22"/>
      <c r="F166" s="22"/>
      <c r="G166" s="22"/>
      <c r="H166" s="22"/>
      <c r="I166" s="22"/>
      <c r="J166" s="157"/>
      <c r="K166" s="157"/>
      <c r="L166" s="22"/>
      <c r="M166" s="22"/>
      <c r="N166" s="22"/>
      <c r="O166" s="22"/>
      <c r="P166" s="22"/>
      <c r="Q166" s="22"/>
      <c r="R166" s="22"/>
      <c r="S166" s="22"/>
      <c r="Z166" s="22"/>
      <c r="AA166" s="22"/>
      <c r="AB166" s="22"/>
      <c r="AC166" s="22"/>
      <c r="AD166" s="22"/>
      <c r="AE166" s="22"/>
      <c r="AF166" s="22"/>
      <c r="AG166" s="22"/>
      <c r="AH166" s="22"/>
      <c r="AI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row>
    <row r="167" spans="1:81" x14ac:dyDescent="0.2">
      <c r="A167" s="22"/>
      <c r="B167" s="22"/>
      <c r="C167" s="22"/>
      <c r="D167" s="22"/>
      <c r="E167" s="22"/>
      <c r="F167" s="22"/>
      <c r="G167" s="22"/>
      <c r="H167" s="22"/>
      <c r="I167" s="22"/>
      <c r="J167" s="157"/>
      <c r="K167" s="157"/>
      <c r="L167" s="22"/>
      <c r="M167" s="22"/>
      <c r="N167" s="22"/>
      <c r="O167" s="22"/>
      <c r="P167" s="22"/>
      <c r="Q167" s="22"/>
      <c r="R167" s="22"/>
      <c r="S167" s="22"/>
      <c r="Z167" s="22"/>
      <c r="AA167" s="22"/>
      <c r="AB167" s="22"/>
      <c r="AC167" s="22"/>
      <c r="AD167" s="22"/>
      <c r="AE167" s="22"/>
      <c r="AF167" s="22"/>
      <c r="AG167" s="22"/>
      <c r="AH167" s="22"/>
      <c r="AI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row>
    <row r="168" spans="1:81" x14ac:dyDescent="0.2">
      <c r="A168" s="22"/>
      <c r="B168" s="22"/>
      <c r="C168" s="22"/>
      <c r="D168" s="22"/>
      <c r="E168" s="22"/>
      <c r="F168" s="22"/>
      <c r="G168" s="22"/>
      <c r="H168" s="22"/>
      <c r="I168" s="22"/>
      <c r="J168" s="157"/>
      <c r="K168" s="157"/>
      <c r="L168" s="22"/>
      <c r="M168" s="22"/>
      <c r="N168" s="22"/>
      <c r="O168" s="22"/>
      <c r="P168" s="22"/>
      <c r="Q168" s="22"/>
      <c r="R168" s="22"/>
      <c r="S168" s="22"/>
      <c r="Z168" s="22"/>
      <c r="AA168" s="22"/>
      <c r="AB168" s="22"/>
      <c r="AC168" s="22"/>
      <c r="AD168" s="22"/>
      <c r="AE168" s="22"/>
      <c r="AF168" s="22"/>
      <c r="AG168" s="22"/>
      <c r="AH168" s="22"/>
      <c r="AI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row>
    <row r="169" spans="1:81" x14ac:dyDescent="0.2">
      <c r="A169" s="22"/>
      <c r="B169" s="22"/>
      <c r="C169" s="22"/>
      <c r="D169" s="63"/>
      <c r="E169" s="63"/>
      <c r="F169" s="63"/>
      <c r="G169" s="63"/>
      <c r="H169" s="63"/>
      <c r="I169" s="63"/>
      <c r="J169" s="157"/>
      <c r="K169" s="157"/>
      <c r="L169" s="22"/>
      <c r="M169" s="22"/>
      <c r="N169" s="22"/>
      <c r="O169" s="22"/>
      <c r="P169" s="22"/>
      <c r="Q169" s="22"/>
      <c r="R169" s="22"/>
      <c r="S169" s="22"/>
      <c r="Z169" s="22"/>
      <c r="AA169" s="22"/>
      <c r="AB169" s="22"/>
      <c r="AC169" s="22"/>
      <c r="AD169" s="22"/>
      <c r="AE169" s="22"/>
      <c r="AF169" s="22"/>
      <c r="AG169" s="22"/>
      <c r="AH169" s="22"/>
      <c r="AI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row>
    <row r="170" spans="1:81" x14ac:dyDescent="0.2">
      <c r="A170" s="22"/>
      <c r="B170" s="22"/>
      <c r="C170" s="22"/>
      <c r="D170" s="22"/>
      <c r="E170" s="22"/>
      <c r="F170" s="22"/>
      <c r="G170" s="22"/>
      <c r="H170" s="22"/>
      <c r="I170" s="22"/>
      <c r="J170" s="157"/>
      <c r="K170" s="157"/>
      <c r="L170" s="22"/>
      <c r="M170" s="22"/>
      <c r="N170" s="22"/>
      <c r="O170" s="22"/>
      <c r="P170" s="22"/>
      <c r="Q170" s="22"/>
      <c r="R170" s="22"/>
      <c r="S170" s="22"/>
      <c r="Z170" s="22"/>
      <c r="AA170" s="22"/>
      <c r="AB170" s="22"/>
      <c r="AC170" s="22"/>
      <c r="AD170" s="22"/>
      <c r="AE170" s="22"/>
      <c r="AF170" s="22"/>
      <c r="AG170" s="22"/>
      <c r="AH170" s="22"/>
      <c r="AI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row>
    <row r="171" spans="1:81" x14ac:dyDescent="0.2">
      <c r="A171" s="22"/>
      <c r="B171" s="22"/>
      <c r="C171" s="22"/>
      <c r="D171" s="22"/>
      <c r="E171" s="22"/>
      <c r="F171" s="22"/>
      <c r="G171" s="22"/>
      <c r="H171" s="22"/>
      <c r="I171" s="22"/>
      <c r="J171" s="157"/>
      <c r="K171" s="157"/>
      <c r="L171" s="22"/>
      <c r="M171" s="22"/>
      <c r="N171" s="22"/>
      <c r="O171" s="22"/>
      <c r="P171" s="22"/>
      <c r="Q171" s="22"/>
      <c r="R171" s="22"/>
      <c r="S171" s="22"/>
      <c r="Z171" s="22"/>
      <c r="AA171" s="22"/>
      <c r="AB171" s="22"/>
      <c r="AC171" s="22"/>
      <c r="AD171" s="22"/>
      <c r="AE171" s="22"/>
      <c r="AF171" s="22"/>
      <c r="AG171" s="22"/>
      <c r="AH171" s="22"/>
      <c r="AI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row>
    <row r="172" spans="1:81" x14ac:dyDescent="0.2">
      <c r="A172" s="36"/>
      <c r="B172" s="22"/>
      <c r="C172" s="22"/>
      <c r="D172" s="22"/>
      <c r="E172" s="22"/>
      <c r="F172" s="22"/>
      <c r="G172" s="22"/>
      <c r="H172" s="22"/>
      <c r="I172" s="22"/>
      <c r="J172" s="157"/>
      <c r="K172" s="157"/>
      <c r="L172" s="22"/>
      <c r="M172" s="22"/>
      <c r="N172" s="22"/>
      <c r="O172" s="22"/>
      <c r="P172" s="22"/>
      <c r="Q172" s="22"/>
      <c r="R172" s="22"/>
      <c r="S172" s="22"/>
      <c r="Z172" s="22"/>
      <c r="AA172" s="22"/>
      <c r="AB172" s="22"/>
      <c r="AC172" s="22"/>
      <c r="AD172" s="22"/>
      <c r="AE172" s="22"/>
      <c r="AF172" s="22"/>
      <c r="AG172" s="22"/>
      <c r="AH172" s="22"/>
      <c r="AI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row>
    <row r="173" spans="1:81" x14ac:dyDescent="0.2">
      <c r="A173" s="36"/>
      <c r="B173" s="22"/>
      <c r="C173" s="22"/>
      <c r="D173" s="22"/>
      <c r="E173" s="22"/>
      <c r="F173" s="22"/>
      <c r="G173" s="22"/>
      <c r="H173" s="22"/>
      <c r="I173" s="22"/>
      <c r="J173" s="157"/>
      <c r="K173" s="157"/>
      <c r="L173" s="22"/>
      <c r="M173" s="22"/>
      <c r="N173" s="22"/>
      <c r="O173" s="22"/>
      <c r="P173" s="22"/>
      <c r="Q173" s="22"/>
      <c r="R173" s="22"/>
      <c r="S173" s="22"/>
      <c r="Z173" s="22"/>
      <c r="AA173" s="22"/>
      <c r="AB173" s="22"/>
      <c r="AC173" s="22"/>
      <c r="AD173" s="22"/>
      <c r="AE173" s="22"/>
      <c r="AF173" s="22"/>
      <c r="AG173" s="22"/>
      <c r="AH173" s="22"/>
      <c r="AI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row>
    <row r="174" spans="1:81" x14ac:dyDescent="0.2">
      <c r="A174" s="36"/>
      <c r="B174" s="22"/>
      <c r="C174" s="22"/>
      <c r="D174" s="22"/>
      <c r="E174" s="22"/>
      <c r="F174" s="22"/>
      <c r="G174" s="22"/>
      <c r="H174" s="22"/>
      <c r="I174" s="22"/>
      <c r="J174" s="157"/>
      <c r="K174" s="157"/>
      <c r="L174" s="22"/>
      <c r="M174" s="22"/>
      <c r="N174" s="22"/>
      <c r="O174" s="22"/>
      <c r="P174" s="22"/>
      <c r="Q174" s="22"/>
      <c r="R174" s="22"/>
      <c r="S174" s="22"/>
      <c r="Z174" s="22"/>
      <c r="AA174" s="22"/>
      <c r="AB174" s="22"/>
      <c r="AC174" s="22"/>
      <c r="AD174" s="22"/>
      <c r="AE174" s="22"/>
      <c r="AF174" s="22"/>
      <c r="AG174" s="22"/>
      <c r="AH174" s="22"/>
      <c r="AI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row>
    <row r="175" spans="1:81" x14ac:dyDescent="0.2">
      <c r="A175" s="36"/>
      <c r="B175" s="22"/>
      <c r="C175" s="22"/>
      <c r="D175" s="22"/>
      <c r="E175" s="22"/>
      <c r="F175" s="22"/>
      <c r="G175" s="22"/>
      <c r="H175" s="22"/>
      <c r="I175" s="22"/>
      <c r="J175" s="157"/>
      <c r="K175" s="157"/>
      <c r="L175" s="22"/>
      <c r="M175" s="22"/>
      <c r="N175" s="22"/>
      <c r="O175" s="22"/>
      <c r="P175" s="22"/>
      <c r="Q175" s="22"/>
      <c r="R175" s="22"/>
      <c r="S175" s="22"/>
      <c r="Z175" s="22"/>
      <c r="AA175" s="22"/>
      <c r="AB175" s="22"/>
      <c r="AC175" s="22"/>
      <c r="AD175" s="22"/>
      <c r="AE175" s="22"/>
      <c r="AF175" s="22"/>
      <c r="AG175" s="22"/>
      <c r="AH175" s="22"/>
      <c r="AI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row>
    <row r="176" spans="1:81" x14ac:dyDescent="0.2">
      <c r="A176" s="36"/>
      <c r="B176" s="22"/>
      <c r="C176" s="22"/>
      <c r="D176" s="22"/>
      <c r="E176" s="22"/>
      <c r="F176" s="22"/>
      <c r="G176" s="22"/>
      <c r="H176" s="22"/>
      <c r="I176" s="22"/>
      <c r="J176" s="157"/>
      <c r="K176" s="157"/>
      <c r="L176" s="22"/>
      <c r="M176" s="22"/>
      <c r="N176" s="22"/>
      <c r="O176" s="22"/>
      <c r="P176" s="22"/>
      <c r="Q176" s="22"/>
      <c r="R176" s="22"/>
      <c r="S176" s="22"/>
      <c r="Z176" s="22"/>
      <c r="AA176" s="22"/>
      <c r="AB176" s="22"/>
      <c r="AC176" s="22"/>
      <c r="AD176" s="22"/>
      <c r="AE176" s="22"/>
      <c r="AF176" s="22"/>
      <c r="AG176" s="22"/>
      <c r="AH176" s="22"/>
      <c r="AI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row>
    <row r="177" spans="1:81" x14ac:dyDescent="0.2">
      <c r="A177" s="36"/>
      <c r="B177" s="22"/>
      <c r="C177" s="22"/>
      <c r="D177" s="22"/>
      <c r="E177" s="22"/>
      <c r="F177" s="22"/>
      <c r="G177" s="22"/>
      <c r="H177" s="22"/>
      <c r="I177" s="22"/>
      <c r="J177" s="157"/>
      <c r="K177" s="157"/>
      <c r="L177" s="22"/>
      <c r="M177" s="22"/>
      <c r="N177" s="22"/>
      <c r="O177" s="22"/>
      <c r="P177" s="22"/>
      <c r="Q177" s="22"/>
      <c r="R177" s="22"/>
      <c r="S177" s="22"/>
      <c r="Z177" s="22"/>
      <c r="AA177" s="22"/>
      <c r="AB177" s="22"/>
      <c r="AC177" s="22"/>
      <c r="AD177" s="22"/>
      <c r="AE177" s="22"/>
      <c r="AF177" s="22"/>
      <c r="AG177" s="22"/>
      <c r="AH177" s="22"/>
      <c r="AI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row>
    <row r="178" spans="1:81" x14ac:dyDescent="0.2">
      <c r="A178" s="36"/>
      <c r="B178" s="22"/>
      <c r="C178" s="22"/>
      <c r="D178" s="22"/>
      <c r="E178" s="22"/>
      <c r="F178" s="22"/>
      <c r="G178" s="22"/>
      <c r="H178" s="22"/>
      <c r="I178" s="22"/>
      <c r="J178" s="157"/>
      <c r="K178" s="157"/>
      <c r="L178" s="22"/>
      <c r="M178" s="22"/>
      <c r="N178" s="22"/>
      <c r="O178" s="22"/>
      <c r="P178" s="22"/>
      <c r="Q178" s="22"/>
      <c r="R178" s="22"/>
      <c r="S178" s="22"/>
      <c r="Z178" s="22"/>
      <c r="AA178" s="22"/>
      <c r="AB178" s="22"/>
      <c r="AC178" s="22"/>
      <c r="AD178" s="22"/>
      <c r="AE178" s="22"/>
      <c r="AF178" s="22"/>
      <c r="AG178" s="22"/>
      <c r="AH178" s="22"/>
      <c r="AI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row>
    <row r="179" spans="1:81" x14ac:dyDescent="0.2">
      <c r="A179" s="36"/>
      <c r="B179" s="22"/>
      <c r="C179" s="22"/>
      <c r="D179" s="22"/>
      <c r="E179" s="22"/>
      <c r="F179" s="22"/>
      <c r="G179" s="22"/>
      <c r="H179" s="22"/>
      <c r="I179" s="22"/>
      <c r="J179" s="157"/>
      <c r="K179" s="157"/>
      <c r="L179" s="22"/>
      <c r="M179" s="22"/>
      <c r="N179" s="22"/>
      <c r="O179" s="22"/>
      <c r="P179" s="22"/>
      <c r="Q179" s="22"/>
      <c r="R179" s="22"/>
      <c r="S179" s="22"/>
      <c r="Z179" s="22"/>
      <c r="AA179" s="22"/>
      <c r="AB179" s="22"/>
      <c r="AC179" s="22"/>
      <c r="AD179" s="22"/>
      <c r="AE179" s="22"/>
      <c r="AF179" s="22"/>
      <c r="AG179" s="22"/>
      <c r="AH179" s="22"/>
      <c r="AI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row>
    <row r="180" spans="1:81" x14ac:dyDescent="0.2">
      <c r="A180" s="36"/>
      <c r="B180" s="22"/>
      <c r="C180" s="22"/>
      <c r="D180" s="22"/>
      <c r="E180" s="22"/>
      <c r="F180" s="22"/>
      <c r="G180" s="22"/>
      <c r="H180" s="22"/>
      <c r="I180" s="22"/>
      <c r="J180" s="157"/>
      <c r="K180" s="157"/>
      <c r="L180" s="22"/>
      <c r="M180" s="22"/>
      <c r="N180" s="22"/>
      <c r="O180" s="22"/>
      <c r="P180" s="22"/>
      <c r="Q180" s="22"/>
      <c r="R180" s="22"/>
      <c r="S180" s="22"/>
      <c r="Z180" s="22"/>
      <c r="AA180" s="22"/>
      <c r="AB180" s="22"/>
      <c r="AC180" s="22"/>
      <c r="AD180" s="22"/>
      <c r="AE180" s="22"/>
      <c r="AF180" s="22"/>
      <c r="AG180" s="22"/>
      <c r="AH180" s="22"/>
      <c r="AI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row>
    <row r="181" spans="1:81" x14ac:dyDescent="0.2">
      <c r="A181" s="36"/>
      <c r="B181" s="22"/>
      <c r="C181" s="22"/>
      <c r="D181" s="22"/>
      <c r="E181" s="22"/>
      <c r="F181" s="22"/>
      <c r="G181" s="22"/>
      <c r="H181" s="22"/>
      <c r="I181" s="22"/>
      <c r="J181" s="157"/>
      <c r="K181" s="157"/>
      <c r="L181" s="22"/>
      <c r="M181" s="22"/>
      <c r="N181" s="22"/>
      <c r="O181" s="22"/>
      <c r="P181" s="22"/>
      <c r="Q181" s="22"/>
      <c r="R181" s="22"/>
      <c r="S181" s="22"/>
      <c r="Z181" s="22"/>
      <c r="AA181" s="22"/>
      <c r="AB181" s="22"/>
      <c r="AC181" s="22"/>
      <c r="AD181" s="22"/>
      <c r="AE181" s="22"/>
      <c r="AF181" s="22"/>
      <c r="AG181" s="22"/>
      <c r="AH181" s="22"/>
      <c r="AI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row>
    <row r="182" spans="1:81" x14ac:dyDescent="0.2">
      <c r="A182" s="36"/>
      <c r="B182" s="22"/>
      <c r="C182" s="22"/>
      <c r="D182" s="22"/>
      <c r="E182" s="22"/>
      <c r="F182" s="22"/>
      <c r="G182" s="22"/>
      <c r="H182" s="22"/>
      <c r="I182" s="22"/>
      <c r="J182" s="157"/>
      <c r="K182" s="157"/>
      <c r="L182" s="22"/>
      <c r="M182" s="22"/>
      <c r="N182" s="22"/>
      <c r="O182" s="22"/>
      <c r="P182" s="22"/>
      <c r="Q182" s="22"/>
      <c r="R182" s="22"/>
      <c r="S182" s="22"/>
      <c r="Z182" s="22"/>
      <c r="AA182" s="22"/>
      <c r="AB182" s="22"/>
      <c r="AC182" s="22"/>
      <c r="AD182" s="22"/>
      <c r="AE182" s="22"/>
      <c r="AF182" s="22"/>
      <c r="AG182" s="22"/>
      <c r="AH182" s="22"/>
      <c r="AI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row>
    <row r="183" spans="1:81" x14ac:dyDescent="0.2">
      <c r="A183" s="36"/>
      <c r="B183" s="22"/>
      <c r="C183" s="22"/>
      <c r="D183" s="22"/>
      <c r="E183" s="22"/>
      <c r="F183" s="22"/>
      <c r="G183" s="22"/>
      <c r="H183" s="22"/>
      <c r="I183" s="22"/>
      <c r="J183" s="157"/>
      <c r="K183" s="157"/>
      <c r="L183" s="22"/>
      <c r="M183" s="22"/>
      <c r="N183" s="22"/>
      <c r="O183" s="22"/>
      <c r="P183" s="22"/>
      <c r="Q183" s="22"/>
      <c r="R183" s="22"/>
      <c r="S183" s="22"/>
      <c r="Z183" s="22"/>
      <c r="AA183" s="22"/>
      <c r="AB183" s="22"/>
      <c r="AC183" s="22"/>
      <c r="AD183" s="22"/>
      <c r="AE183" s="22"/>
      <c r="AF183" s="22"/>
      <c r="AG183" s="22"/>
      <c r="AH183" s="22"/>
      <c r="AI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row>
    <row r="184" spans="1:81" x14ac:dyDescent="0.2">
      <c r="A184" s="36"/>
      <c r="B184" s="22"/>
      <c r="C184" s="22"/>
      <c r="D184" s="22"/>
      <c r="E184" s="22"/>
      <c r="F184" s="22"/>
      <c r="G184" s="22"/>
      <c r="H184" s="22"/>
      <c r="I184" s="22"/>
      <c r="J184" s="157"/>
      <c r="K184" s="157"/>
      <c r="L184" s="22"/>
      <c r="M184" s="22"/>
      <c r="N184" s="22"/>
      <c r="O184" s="22"/>
      <c r="P184" s="22"/>
      <c r="Q184" s="22"/>
      <c r="R184" s="22"/>
      <c r="S184" s="22"/>
      <c r="Z184" s="22"/>
      <c r="AA184" s="22"/>
      <c r="AB184" s="22"/>
      <c r="AC184" s="22"/>
      <c r="AD184" s="22"/>
      <c r="AE184" s="22"/>
      <c r="AF184" s="22"/>
      <c r="AG184" s="22"/>
      <c r="AH184" s="22"/>
      <c r="AI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row>
    <row r="185" spans="1:81" x14ac:dyDescent="0.2">
      <c r="A185" s="36"/>
      <c r="B185" s="22"/>
      <c r="C185" s="22"/>
      <c r="D185" s="22"/>
      <c r="E185" s="22"/>
      <c r="F185" s="22"/>
      <c r="G185" s="22"/>
      <c r="H185" s="22"/>
      <c r="I185" s="22"/>
      <c r="J185" s="157"/>
      <c r="K185" s="157"/>
      <c r="L185" s="22"/>
      <c r="M185" s="22"/>
      <c r="N185" s="22"/>
      <c r="O185" s="22"/>
      <c r="P185" s="22"/>
      <c r="Q185" s="22"/>
      <c r="R185" s="22"/>
      <c r="S185" s="22"/>
      <c r="Z185" s="22"/>
      <c r="AA185" s="22"/>
      <c r="AB185" s="22"/>
      <c r="AC185" s="22"/>
      <c r="AD185" s="22"/>
      <c r="AE185" s="22"/>
      <c r="AF185" s="22"/>
      <c r="AG185" s="22"/>
      <c r="AH185" s="22"/>
      <c r="AI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row>
    <row r="186" spans="1:81" x14ac:dyDescent="0.2">
      <c r="A186" s="36"/>
      <c r="B186" s="22"/>
      <c r="C186" s="22"/>
      <c r="D186" s="22"/>
      <c r="E186" s="22"/>
      <c r="F186" s="22"/>
      <c r="G186" s="22"/>
      <c r="H186" s="22"/>
      <c r="I186" s="22"/>
      <c r="J186" s="157"/>
      <c r="K186" s="157"/>
      <c r="L186" s="22"/>
      <c r="M186" s="22"/>
      <c r="N186" s="22"/>
      <c r="O186" s="22"/>
      <c r="P186" s="22"/>
      <c r="Q186" s="22"/>
      <c r="R186" s="22"/>
      <c r="S186" s="22"/>
      <c r="Z186" s="22"/>
      <c r="AA186" s="22"/>
      <c r="AB186" s="22"/>
      <c r="AC186" s="22"/>
      <c r="AD186" s="22"/>
      <c r="AE186" s="22"/>
      <c r="AF186" s="22"/>
      <c r="AG186" s="22"/>
      <c r="AH186" s="22"/>
      <c r="AI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row>
    <row r="187" spans="1:81" x14ac:dyDescent="0.2">
      <c r="A187" s="36"/>
      <c r="B187" s="22"/>
      <c r="C187" s="22"/>
      <c r="D187" s="22"/>
      <c r="E187" s="22"/>
      <c r="F187" s="22"/>
      <c r="G187" s="22"/>
      <c r="H187" s="22"/>
      <c r="I187" s="22"/>
      <c r="J187" s="157"/>
      <c r="K187" s="157"/>
      <c r="L187" s="22"/>
      <c r="M187" s="22"/>
      <c r="N187" s="22"/>
      <c r="O187" s="22"/>
      <c r="P187" s="22"/>
      <c r="Q187" s="22"/>
      <c r="R187" s="22"/>
      <c r="S187" s="22"/>
      <c r="Z187" s="22"/>
      <c r="AA187" s="22"/>
      <c r="AB187" s="22"/>
      <c r="AC187" s="22"/>
      <c r="AD187" s="22"/>
      <c r="AE187" s="22"/>
      <c r="AF187" s="22"/>
      <c r="AG187" s="22"/>
      <c r="AH187" s="22"/>
      <c r="AI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row>
    <row r="188" spans="1:81" x14ac:dyDescent="0.2">
      <c r="A188" s="36"/>
      <c r="B188" s="22"/>
      <c r="C188" s="22"/>
      <c r="D188" s="22"/>
      <c r="E188" s="22"/>
      <c r="F188" s="22"/>
      <c r="G188" s="22"/>
      <c r="H188" s="22"/>
      <c r="I188" s="22"/>
      <c r="J188" s="157"/>
      <c r="K188" s="157"/>
      <c r="L188" s="22"/>
      <c r="M188" s="22"/>
      <c r="N188" s="22"/>
      <c r="O188" s="22"/>
      <c r="P188" s="22"/>
      <c r="Q188" s="22"/>
      <c r="R188" s="22"/>
      <c r="S188" s="22"/>
      <c r="Z188" s="22"/>
      <c r="AA188" s="22"/>
      <c r="AB188" s="22"/>
      <c r="AC188" s="22"/>
      <c r="AD188" s="22"/>
      <c r="AE188" s="22"/>
      <c r="AF188" s="22"/>
      <c r="AG188" s="22"/>
      <c r="AH188" s="22"/>
      <c r="AI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row>
    <row r="189" spans="1:81" x14ac:dyDescent="0.2">
      <c r="A189" s="36"/>
      <c r="B189" s="22"/>
      <c r="C189" s="22"/>
      <c r="D189" s="22"/>
      <c r="E189" s="22"/>
      <c r="F189" s="22"/>
      <c r="G189" s="22"/>
      <c r="H189" s="22"/>
      <c r="I189" s="22"/>
      <c r="J189" s="157"/>
      <c r="K189" s="157"/>
      <c r="L189" s="22"/>
      <c r="M189" s="22"/>
      <c r="N189" s="22"/>
      <c r="O189" s="22"/>
      <c r="P189" s="22"/>
      <c r="Q189" s="22"/>
      <c r="R189" s="22"/>
      <c r="S189" s="22"/>
      <c r="Z189" s="22"/>
      <c r="AA189" s="22"/>
      <c r="AB189" s="22"/>
      <c r="AC189" s="22"/>
      <c r="AD189" s="22"/>
      <c r="AE189" s="22"/>
      <c r="AF189" s="22"/>
      <c r="AG189" s="22"/>
      <c r="AH189" s="22"/>
      <c r="AI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row>
    <row r="190" spans="1:81" x14ac:dyDescent="0.2">
      <c r="A190" s="36"/>
      <c r="B190" s="22"/>
      <c r="C190" s="22"/>
      <c r="D190" s="22"/>
      <c r="E190" s="22"/>
      <c r="F190" s="22"/>
      <c r="G190" s="22"/>
      <c r="H190" s="22"/>
      <c r="I190" s="22"/>
      <c r="J190" s="157"/>
      <c r="K190" s="157"/>
      <c r="L190" s="22"/>
      <c r="M190" s="22"/>
      <c r="N190" s="22"/>
      <c r="O190" s="22"/>
      <c r="P190" s="22"/>
      <c r="Q190" s="22"/>
      <c r="R190" s="22"/>
      <c r="S190" s="22"/>
      <c r="Z190" s="22"/>
      <c r="AA190" s="22"/>
      <c r="AB190" s="22"/>
      <c r="AC190" s="22"/>
      <c r="AD190" s="22"/>
      <c r="AE190" s="22"/>
      <c r="AF190" s="22"/>
      <c r="AG190" s="22"/>
      <c r="AH190" s="22"/>
      <c r="AI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row>
    <row r="191" spans="1:81" x14ac:dyDescent="0.2">
      <c r="A191" s="36"/>
      <c r="B191" s="22"/>
      <c r="C191" s="22"/>
      <c r="D191" s="22"/>
      <c r="E191" s="22"/>
      <c r="F191" s="22"/>
      <c r="G191" s="22"/>
      <c r="H191" s="22"/>
      <c r="I191" s="22"/>
      <c r="J191" s="157"/>
      <c r="K191" s="157"/>
      <c r="L191" s="22"/>
      <c r="M191" s="22"/>
      <c r="N191" s="22"/>
      <c r="O191" s="22"/>
      <c r="P191" s="22"/>
      <c r="Q191" s="22"/>
      <c r="R191" s="22"/>
      <c r="S191" s="22"/>
      <c r="Z191" s="22"/>
      <c r="AA191" s="22"/>
      <c r="AB191" s="22"/>
      <c r="AC191" s="22"/>
      <c r="AD191" s="22"/>
      <c r="AE191" s="22"/>
      <c r="AF191" s="22"/>
      <c r="AG191" s="22"/>
      <c r="AH191" s="22"/>
      <c r="AI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row>
    <row r="192" spans="1:81" x14ac:dyDescent="0.2">
      <c r="A192" s="36"/>
      <c r="B192" s="22"/>
      <c r="C192" s="22"/>
      <c r="D192" s="22"/>
      <c r="E192" s="22"/>
      <c r="F192" s="22"/>
      <c r="G192" s="22"/>
      <c r="H192" s="22"/>
      <c r="I192" s="22"/>
      <c r="J192" s="157"/>
      <c r="K192" s="157"/>
      <c r="L192" s="22"/>
      <c r="M192" s="22"/>
      <c r="N192" s="22"/>
      <c r="O192" s="22"/>
      <c r="P192" s="22"/>
      <c r="Q192" s="22"/>
      <c r="R192" s="22"/>
      <c r="S192" s="22"/>
      <c r="Z192" s="22"/>
      <c r="AA192" s="22"/>
      <c r="AB192" s="22"/>
      <c r="AC192" s="22"/>
      <c r="AD192" s="22"/>
      <c r="AE192" s="22"/>
      <c r="AF192" s="22"/>
      <c r="AG192" s="22"/>
      <c r="AH192" s="22"/>
      <c r="AI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row>
    <row r="193" spans="1:81" x14ac:dyDescent="0.2">
      <c r="A193" s="36"/>
      <c r="B193" s="22"/>
      <c r="C193" s="22"/>
      <c r="D193" s="22"/>
      <c r="E193" s="22"/>
      <c r="F193" s="22"/>
      <c r="G193" s="22"/>
      <c r="H193" s="22"/>
      <c r="I193" s="22"/>
      <c r="J193" s="157"/>
      <c r="K193" s="157"/>
      <c r="L193" s="22"/>
      <c r="M193" s="22"/>
      <c r="N193" s="22"/>
      <c r="O193" s="22"/>
      <c r="P193" s="22"/>
      <c r="Q193" s="22"/>
      <c r="R193" s="22"/>
      <c r="S193" s="22"/>
      <c r="Z193" s="22"/>
      <c r="AA193" s="22"/>
      <c r="AB193" s="22"/>
      <c r="AC193" s="22"/>
      <c r="AD193" s="22"/>
      <c r="AE193" s="22"/>
      <c r="AF193" s="22"/>
      <c r="AG193" s="22"/>
      <c r="AH193" s="22"/>
      <c r="AI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row>
    <row r="194" spans="1:81" x14ac:dyDescent="0.2">
      <c r="A194" s="36"/>
      <c r="B194" s="22"/>
      <c r="C194" s="22"/>
      <c r="D194" s="22"/>
      <c r="E194" s="22"/>
      <c r="F194" s="22"/>
      <c r="G194" s="22"/>
      <c r="H194" s="22"/>
      <c r="I194" s="22"/>
      <c r="J194" s="157"/>
      <c r="K194" s="157"/>
      <c r="L194" s="22"/>
      <c r="M194" s="22"/>
      <c r="N194" s="22"/>
      <c r="O194" s="22"/>
      <c r="P194" s="22"/>
      <c r="Q194" s="22"/>
      <c r="R194" s="22"/>
      <c r="S194" s="22"/>
      <c r="Z194" s="22"/>
      <c r="AA194" s="22"/>
      <c r="AB194" s="22"/>
      <c r="AC194" s="22"/>
      <c r="AD194" s="22"/>
      <c r="AE194" s="22"/>
      <c r="AF194" s="22"/>
      <c r="AG194" s="22"/>
      <c r="AH194" s="22"/>
      <c r="AI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row>
    <row r="195" spans="1:81" x14ac:dyDescent="0.2">
      <c r="A195" s="36"/>
      <c r="B195" s="22"/>
      <c r="C195" s="22"/>
      <c r="D195" s="22"/>
      <c r="E195" s="22"/>
      <c r="F195" s="22"/>
      <c r="G195" s="22"/>
      <c r="H195" s="22"/>
      <c r="I195" s="22"/>
      <c r="J195" s="157"/>
      <c r="K195" s="157"/>
      <c r="L195" s="22"/>
      <c r="M195" s="22"/>
      <c r="N195" s="22"/>
      <c r="O195" s="22"/>
      <c r="P195" s="22"/>
      <c r="Q195" s="22"/>
      <c r="R195" s="22"/>
      <c r="S195" s="22"/>
      <c r="Z195" s="22"/>
      <c r="AA195" s="22"/>
      <c r="AB195" s="22"/>
      <c r="AC195" s="22"/>
      <c r="AD195" s="22"/>
      <c r="AE195" s="22"/>
      <c r="AF195" s="22"/>
      <c r="AG195" s="22"/>
      <c r="AH195" s="22"/>
      <c r="AI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row>
    <row r="196" spans="1:81" x14ac:dyDescent="0.2">
      <c r="A196" s="36"/>
      <c r="B196" s="22"/>
      <c r="C196" s="22"/>
      <c r="D196" s="22"/>
      <c r="E196" s="22"/>
      <c r="F196" s="22"/>
      <c r="G196" s="22"/>
      <c r="H196" s="22"/>
      <c r="I196" s="22"/>
      <c r="J196" s="157"/>
      <c r="K196" s="157"/>
      <c r="L196" s="22"/>
      <c r="M196" s="22"/>
      <c r="N196" s="22"/>
      <c r="O196" s="22"/>
      <c r="P196" s="22"/>
      <c r="Q196" s="22"/>
      <c r="R196" s="22"/>
      <c r="S196" s="22"/>
      <c r="Z196" s="22"/>
      <c r="AA196" s="22"/>
      <c r="AB196" s="22"/>
      <c r="AC196" s="22"/>
      <c r="AD196" s="22"/>
      <c r="AE196" s="22"/>
      <c r="AF196" s="22"/>
      <c r="AG196" s="22"/>
      <c r="AH196" s="22"/>
      <c r="AI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row>
    <row r="197" spans="1:81" x14ac:dyDescent="0.2">
      <c r="A197" s="36"/>
      <c r="B197" s="22"/>
      <c r="C197" s="22"/>
      <c r="D197" s="22"/>
      <c r="E197" s="22"/>
      <c r="F197" s="22"/>
      <c r="G197" s="22"/>
      <c r="H197" s="22"/>
      <c r="I197" s="22"/>
      <c r="J197" s="157"/>
      <c r="K197" s="157"/>
      <c r="L197" s="22"/>
      <c r="M197" s="22"/>
      <c r="N197" s="22"/>
      <c r="O197" s="22"/>
      <c r="P197" s="22"/>
      <c r="Q197" s="22"/>
      <c r="R197" s="22"/>
      <c r="S197" s="22"/>
      <c r="Z197" s="22"/>
      <c r="AA197" s="22"/>
      <c r="AB197" s="22"/>
      <c r="AC197" s="22"/>
      <c r="AD197" s="22"/>
      <c r="AE197" s="22"/>
      <c r="AF197" s="22"/>
      <c r="AG197" s="22"/>
      <c r="AH197" s="22"/>
      <c r="AI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row>
    <row r="198" spans="1:81" x14ac:dyDescent="0.2">
      <c r="A198" s="36"/>
      <c r="B198" s="22"/>
      <c r="C198" s="22"/>
      <c r="D198" s="22"/>
      <c r="E198" s="22"/>
      <c r="F198" s="22"/>
      <c r="G198" s="22"/>
      <c r="H198" s="22"/>
      <c r="I198" s="22"/>
      <c r="J198" s="157"/>
      <c r="K198" s="157"/>
      <c r="L198" s="22"/>
      <c r="M198" s="22"/>
      <c r="N198" s="22"/>
      <c r="O198" s="22"/>
      <c r="P198" s="22"/>
      <c r="Q198" s="22"/>
      <c r="R198" s="22"/>
      <c r="S198" s="22"/>
      <c r="Z198" s="22"/>
      <c r="AA198" s="22"/>
      <c r="AB198" s="22"/>
      <c r="AC198" s="22"/>
      <c r="AD198" s="22"/>
      <c r="AE198" s="22"/>
      <c r="AF198" s="22"/>
      <c r="AG198" s="22"/>
      <c r="AH198" s="22"/>
      <c r="AI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row>
    <row r="199" spans="1:81" x14ac:dyDescent="0.2">
      <c r="A199" s="36"/>
      <c r="B199" s="22"/>
      <c r="C199" s="22"/>
      <c r="D199" s="22"/>
      <c r="E199" s="22"/>
      <c r="F199" s="22"/>
      <c r="G199" s="22"/>
      <c r="H199" s="22"/>
      <c r="I199" s="22"/>
      <c r="J199" s="157"/>
      <c r="K199" s="157"/>
      <c r="L199" s="22"/>
      <c r="M199" s="22"/>
      <c r="N199" s="22"/>
      <c r="O199" s="22"/>
      <c r="P199" s="22"/>
      <c r="Q199" s="22"/>
      <c r="R199" s="22"/>
      <c r="S199" s="22"/>
      <c r="Z199" s="22"/>
      <c r="AA199" s="22"/>
      <c r="AB199" s="22"/>
      <c r="AC199" s="22"/>
      <c r="AD199" s="22"/>
      <c r="AE199" s="22"/>
      <c r="AF199" s="22"/>
      <c r="AG199" s="22"/>
      <c r="AH199" s="22"/>
      <c r="AI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row>
    <row r="200" spans="1:81" x14ac:dyDescent="0.2">
      <c r="A200" s="36"/>
      <c r="B200" s="22"/>
      <c r="C200" s="22"/>
      <c r="D200" s="22"/>
      <c r="E200" s="22"/>
      <c r="F200" s="22"/>
      <c r="G200" s="22"/>
      <c r="H200" s="22"/>
      <c r="I200" s="22"/>
      <c r="J200" s="157"/>
      <c r="K200" s="157"/>
      <c r="L200" s="22"/>
      <c r="M200" s="22"/>
      <c r="N200" s="22"/>
      <c r="O200" s="22"/>
      <c r="P200" s="22"/>
      <c r="Q200" s="22"/>
      <c r="R200" s="22"/>
      <c r="S200" s="22"/>
      <c r="Z200" s="22"/>
      <c r="AA200" s="22"/>
      <c r="AB200" s="22"/>
      <c r="AC200" s="22"/>
      <c r="AD200" s="22"/>
      <c r="AE200" s="22"/>
      <c r="AF200" s="22"/>
      <c r="AG200" s="22"/>
      <c r="AH200" s="22"/>
      <c r="AI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row>
    <row r="201" spans="1:81" x14ac:dyDescent="0.2">
      <c r="A201" s="36"/>
      <c r="B201" s="22"/>
      <c r="C201" s="22"/>
      <c r="D201" s="22"/>
      <c r="E201" s="22"/>
      <c r="F201" s="22"/>
      <c r="G201" s="22"/>
      <c r="H201" s="22"/>
      <c r="I201" s="22"/>
      <c r="J201" s="157"/>
      <c r="K201" s="157"/>
      <c r="L201" s="22"/>
      <c r="M201" s="22"/>
      <c r="N201" s="22"/>
      <c r="O201" s="22"/>
      <c r="P201" s="22"/>
      <c r="Q201" s="22"/>
      <c r="R201" s="22"/>
      <c r="S201" s="22"/>
      <c r="Z201" s="22"/>
      <c r="AA201" s="22"/>
      <c r="AB201" s="22"/>
      <c r="AC201" s="22"/>
      <c r="AD201" s="22"/>
      <c r="AE201" s="22"/>
      <c r="AF201" s="22"/>
      <c r="AG201" s="22"/>
      <c r="AH201" s="22"/>
      <c r="AI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row>
  </sheetData>
  <mergeCells count="44">
    <mergeCell ref="A40:A51"/>
    <mergeCell ref="AP4:AQ4"/>
    <mergeCell ref="AR4:AS4"/>
    <mergeCell ref="AJ4:AK4"/>
    <mergeCell ref="AL4:AM4"/>
    <mergeCell ref="B4:C4"/>
    <mergeCell ref="D4:E4"/>
    <mergeCell ref="F4:G4"/>
    <mergeCell ref="AN4:AO4"/>
    <mergeCell ref="A37:A39"/>
    <mergeCell ref="AH4:AI4"/>
    <mergeCell ref="R4:S4"/>
    <mergeCell ref="J4:K4"/>
    <mergeCell ref="T4:U4"/>
    <mergeCell ref="L4:M4"/>
    <mergeCell ref="AD4:AE4"/>
    <mergeCell ref="AT4:AU4"/>
    <mergeCell ref="AZ4:BA4"/>
    <mergeCell ref="BZ4:CA4"/>
    <mergeCell ref="BX4:BY4"/>
    <mergeCell ref="BN4:BO4"/>
    <mergeCell ref="BB4:BC4"/>
    <mergeCell ref="BJ4:BK4"/>
    <mergeCell ref="BH4:BI4"/>
    <mergeCell ref="BL4:BM4"/>
    <mergeCell ref="BD4:BE4"/>
    <mergeCell ref="BT4:BU4"/>
    <mergeCell ref="AV4:AW4"/>
    <mergeCell ref="AB4:AC4"/>
    <mergeCell ref="A2:CC2"/>
    <mergeCell ref="A4:A5"/>
    <mergeCell ref="N4:O4"/>
    <mergeCell ref="P4:Q4"/>
    <mergeCell ref="Z4:AA4"/>
    <mergeCell ref="H4:I4"/>
    <mergeCell ref="V4:W4"/>
    <mergeCell ref="X4:Y4"/>
    <mergeCell ref="AF4:AG4"/>
    <mergeCell ref="CB4:CC4"/>
    <mergeCell ref="BP4:BQ4"/>
    <mergeCell ref="BV4:BW4"/>
    <mergeCell ref="BR4:BS4"/>
    <mergeCell ref="AX4:AY4"/>
    <mergeCell ref="BF4:BG4"/>
  </mergeCells>
  <phoneticPr fontId="0" type="noConversion"/>
  <conditionalFormatting sqref="N19:S19">
    <cfRule type="cellIs" dxfId="4" priority="3" stopIfTrue="1" operator="lessThan">
      <formula>0</formula>
    </cfRule>
  </conditionalFormatting>
  <conditionalFormatting sqref="AB19:AG19">
    <cfRule type="cellIs" dxfId="3" priority="101" stopIfTrue="1" operator="lessThan">
      <formula>0</formula>
    </cfRule>
  </conditionalFormatting>
  <conditionalFormatting sqref="AJ19:AK19 AN19:AQ19 BQ19 BT19:BU19">
    <cfRule type="cellIs" dxfId="2" priority="136" stopIfTrue="1" operator="lessThan">
      <formula>0</formula>
    </cfRule>
  </conditionalFormatting>
  <conditionalFormatting sqref="AX19:BK19">
    <cfRule type="cellIs" dxfId="1" priority="93" stopIfTrue="1" operator="lessThan">
      <formula>0</formula>
    </cfRule>
  </conditionalFormatting>
  <conditionalFormatting sqref="BW19:CC19">
    <cfRule type="cellIs" dxfId="0" priority="33" stopIfTrue="1" operator="lessThan">
      <formula>0</formula>
    </cfRule>
  </conditionalFormatting>
  <pageMargins left="0.81" right="0.59055118110236227" top="0.93" bottom="0.48" header="0" footer="0"/>
  <pageSetup scale="96" fitToWidth="2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theme="3" tint="0.79998168889431442"/>
  </sheetPr>
  <dimension ref="A1:CC29"/>
  <sheetViews>
    <sheetView zoomScaleNormal="100" workbookViewId="0"/>
  </sheetViews>
  <sheetFormatPr baseColWidth="10" defaultColWidth="11.42578125" defaultRowHeight="12" x14ac:dyDescent="0.2"/>
  <cols>
    <col min="1" max="1" width="53" style="3" customWidth="1"/>
    <col min="2" max="3" width="20.85546875" style="2" customWidth="1"/>
    <col min="4" max="42" width="20.85546875" style="19" customWidth="1"/>
    <col min="43" max="82" width="20.85546875" style="2" customWidth="1"/>
    <col min="83" max="16384" width="11.42578125" style="2"/>
  </cols>
  <sheetData>
    <row r="1" spans="1:81" ht="15.75" customHeight="1" x14ac:dyDescent="0.2">
      <c r="A1" s="3" t="s">
        <v>168</v>
      </c>
      <c r="Q1" s="20"/>
    </row>
    <row r="2" spans="1:81" ht="22.5" customHeight="1" x14ac:dyDescent="0.2">
      <c r="A2" s="387" t="s">
        <v>21</v>
      </c>
      <c r="B2" s="388"/>
      <c r="C2" s="388"/>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c r="AJ2" s="388"/>
      <c r="AK2" s="388"/>
      <c r="AL2" s="388"/>
      <c r="AM2" s="388"/>
      <c r="AN2" s="388"/>
      <c r="AO2" s="388"/>
      <c r="AP2" s="388"/>
      <c r="AQ2" s="388"/>
      <c r="AR2" s="388"/>
      <c r="AS2" s="388"/>
      <c r="AT2" s="388"/>
      <c r="AU2" s="388"/>
      <c r="AV2" s="388"/>
      <c r="AW2" s="388"/>
      <c r="AX2" s="388"/>
      <c r="AY2" s="388"/>
      <c r="AZ2" s="388"/>
      <c r="BA2" s="388"/>
      <c r="BB2" s="388"/>
      <c r="BC2" s="388"/>
      <c r="BD2" s="388"/>
      <c r="BE2" s="388"/>
      <c r="BF2" s="388"/>
      <c r="BG2" s="388"/>
      <c r="BH2" s="388"/>
      <c r="BI2" s="388"/>
      <c r="BJ2" s="388"/>
      <c r="BK2" s="388"/>
      <c r="BL2" s="388"/>
      <c r="BM2" s="388"/>
      <c r="BN2" s="388"/>
      <c r="BO2" s="388"/>
      <c r="BP2" s="388"/>
      <c r="BQ2" s="388"/>
      <c r="BR2" s="388"/>
      <c r="BS2" s="388"/>
      <c r="BT2" s="388"/>
      <c r="BU2" s="388"/>
      <c r="BV2" s="388"/>
      <c r="BW2" s="388"/>
      <c r="BX2" s="388"/>
      <c r="BY2" s="388"/>
      <c r="BZ2" s="388"/>
      <c r="CA2" s="388"/>
      <c r="CB2" s="388"/>
      <c r="CC2" s="388"/>
    </row>
    <row r="3" spans="1:81" ht="27" customHeight="1" x14ac:dyDescent="0.2">
      <c r="A3" s="3" t="s">
        <v>35</v>
      </c>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row>
    <row r="4" spans="1:81" s="4" customFormat="1" ht="49.5" customHeight="1" x14ac:dyDescent="0.2">
      <c r="A4" s="385" t="s">
        <v>36</v>
      </c>
      <c r="B4" s="320" t="s">
        <v>169</v>
      </c>
      <c r="C4" s="320"/>
      <c r="D4" s="320" t="s">
        <v>127</v>
      </c>
      <c r="E4" s="320"/>
      <c r="F4" s="320" t="s">
        <v>128</v>
      </c>
      <c r="G4" s="320"/>
      <c r="H4" s="320" t="s">
        <v>129</v>
      </c>
      <c r="I4" s="320"/>
      <c r="J4" s="320" t="s">
        <v>130</v>
      </c>
      <c r="K4" s="320"/>
      <c r="L4" s="320" t="s">
        <v>131</v>
      </c>
      <c r="M4" s="320"/>
      <c r="N4" s="320" t="s">
        <v>132</v>
      </c>
      <c r="O4" s="320"/>
      <c r="P4" s="320" t="s">
        <v>133</v>
      </c>
      <c r="Q4" s="320"/>
      <c r="R4" s="320" t="s">
        <v>134</v>
      </c>
      <c r="S4" s="320"/>
      <c r="T4" s="320" t="s">
        <v>170</v>
      </c>
      <c r="U4" s="320"/>
      <c r="V4" s="320" t="s">
        <v>136</v>
      </c>
      <c r="W4" s="320"/>
      <c r="X4" s="320" t="s">
        <v>171</v>
      </c>
      <c r="Y4" s="320"/>
      <c r="Z4" s="320" t="s">
        <v>138</v>
      </c>
      <c r="AA4" s="320"/>
      <c r="AB4" s="320" t="s">
        <v>172</v>
      </c>
      <c r="AC4" s="320"/>
      <c r="AD4" s="320" t="s">
        <v>140</v>
      </c>
      <c r="AE4" s="320"/>
      <c r="AF4" s="320" t="s">
        <v>173</v>
      </c>
      <c r="AG4" s="320"/>
      <c r="AH4" s="320" t="s">
        <v>142</v>
      </c>
      <c r="AI4" s="320"/>
      <c r="AJ4" s="320" t="s">
        <v>143</v>
      </c>
      <c r="AK4" s="320"/>
      <c r="AL4" s="320" t="s">
        <v>144</v>
      </c>
      <c r="AM4" s="320"/>
      <c r="AN4" s="320" t="s">
        <v>145</v>
      </c>
      <c r="AO4" s="320"/>
      <c r="AP4" s="320" t="s">
        <v>146</v>
      </c>
      <c r="AQ4" s="320"/>
      <c r="AR4" s="320" t="s">
        <v>174</v>
      </c>
      <c r="AS4" s="320"/>
      <c r="AT4" s="320" t="s">
        <v>148</v>
      </c>
      <c r="AU4" s="320"/>
      <c r="AV4" s="320" t="s">
        <v>149</v>
      </c>
      <c r="AW4" s="320"/>
      <c r="AX4" s="320" t="s">
        <v>175</v>
      </c>
      <c r="AY4" s="320"/>
      <c r="AZ4" s="320" t="s">
        <v>176</v>
      </c>
      <c r="BA4" s="320"/>
      <c r="BB4" s="320" t="s">
        <v>152</v>
      </c>
      <c r="BC4" s="320"/>
      <c r="BD4" s="320" t="s">
        <v>153</v>
      </c>
      <c r="BE4" s="320"/>
      <c r="BF4" s="320" t="s">
        <v>154</v>
      </c>
      <c r="BG4" s="320"/>
      <c r="BH4" s="320" t="s">
        <v>155</v>
      </c>
      <c r="BI4" s="320"/>
      <c r="BJ4" s="320" t="s">
        <v>156</v>
      </c>
      <c r="BK4" s="320"/>
      <c r="BL4" s="320" t="s">
        <v>157</v>
      </c>
      <c r="BM4" s="320"/>
      <c r="BN4" s="320" t="s">
        <v>158</v>
      </c>
      <c r="BO4" s="320"/>
      <c r="BP4" s="320" t="s">
        <v>159</v>
      </c>
      <c r="BQ4" s="320"/>
      <c r="BR4" s="320" t="s">
        <v>177</v>
      </c>
      <c r="BS4" s="320"/>
      <c r="BT4" s="320" t="s">
        <v>178</v>
      </c>
      <c r="BU4" s="320"/>
      <c r="BV4" s="320" t="s">
        <v>179</v>
      </c>
      <c r="BW4" s="320"/>
      <c r="BX4" s="320" t="s">
        <v>163</v>
      </c>
      <c r="BY4" s="320"/>
      <c r="BZ4" s="320" t="s">
        <v>164</v>
      </c>
      <c r="CA4" s="320"/>
      <c r="CB4" s="320" t="s">
        <v>165</v>
      </c>
      <c r="CC4" s="320"/>
    </row>
    <row r="5" spans="1:81" s="4" customFormat="1" ht="11.25" customHeight="1" x14ac:dyDescent="0.2">
      <c r="A5" s="385"/>
      <c r="B5" s="1">
        <v>2021</v>
      </c>
      <c r="C5" s="1">
        <v>2022</v>
      </c>
      <c r="D5" s="1">
        <v>2021</v>
      </c>
      <c r="E5" s="1">
        <v>2022</v>
      </c>
      <c r="F5" s="1">
        <v>2021</v>
      </c>
      <c r="G5" s="1">
        <v>2022</v>
      </c>
      <c r="H5" s="1">
        <v>2021</v>
      </c>
      <c r="I5" s="1">
        <v>2022</v>
      </c>
      <c r="J5" s="1">
        <v>2021</v>
      </c>
      <c r="K5" s="1">
        <v>2022</v>
      </c>
      <c r="L5" s="1">
        <v>2021</v>
      </c>
      <c r="M5" s="1">
        <v>2022</v>
      </c>
      <c r="N5" s="1">
        <v>2021</v>
      </c>
      <c r="O5" s="1">
        <v>2022</v>
      </c>
      <c r="P5" s="1">
        <v>2021</v>
      </c>
      <c r="Q5" s="1">
        <v>2022</v>
      </c>
      <c r="R5" s="1">
        <v>2021</v>
      </c>
      <c r="S5" s="1">
        <v>2022</v>
      </c>
      <c r="T5" s="1">
        <v>2021</v>
      </c>
      <c r="U5" s="1">
        <v>2022</v>
      </c>
      <c r="V5" s="1">
        <v>2021</v>
      </c>
      <c r="W5" s="1">
        <v>2022</v>
      </c>
      <c r="X5" s="1">
        <v>2021</v>
      </c>
      <c r="Y5" s="1">
        <v>2022</v>
      </c>
      <c r="Z5" s="1">
        <v>2021</v>
      </c>
      <c r="AA5" s="1">
        <v>2022</v>
      </c>
      <c r="AB5" s="1">
        <v>2021</v>
      </c>
      <c r="AC5" s="1">
        <v>2022</v>
      </c>
      <c r="AD5" s="1">
        <v>2021</v>
      </c>
      <c r="AE5" s="1">
        <v>2022</v>
      </c>
      <c r="AF5" s="1">
        <v>2021</v>
      </c>
      <c r="AG5" s="1">
        <v>2022</v>
      </c>
      <c r="AH5" s="1">
        <v>2021</v>
      </c>
      <c r="AI5" s="1">
        <v>2022</v>
      </c>
      <c r="AJ5" s="1">
        <v>2021</v>
      </c>
      <c r="AK5" s="1">
        <v>2022</v>
      </c>
      <c r="AL5" s="1">
        <v>2021</v>
      </c>
      <c r="AM5" s="1">
        <v>2022</v>
      </c>
      <c r="AN5" s="1">
        <v>2021</v>
      </c>
      <c r="AO5" s="1">
        <v>2022</v>
      </c>
      <c r="AP5" s="1">
        <v>2021</v>
      </c>
      <c r="AQ5" s="1">
        <v>2022</v>
      </c>
      <c r="AR5" s="1">
        <v>2021</v>
      </c>
      <c r="AS5" s="1">
        <v>2022</v>
      </c>
      <c r="AT5" s="1">
        <v>2021</v>
      </c>
      <c r="AU5" s="1">
        <v>2022</v>
      </c>
      <c r="AV5" s="1">
        <v>2021</v>
      </c>
      <c r="AW5" s="1">
        <v>2022</v>
      </c>
      <c r="AX5" s="1">
        <v>2021</v>
      </c>
      <c r="AY5" s="1">
        <v>2022</v>
      </c>
      <c r="AZ5" s="1">
        <v>2021</v>
      </c>
      <c r="BA5" s="1">
        <v>2022</v>
      </c>
      <c r="BB5" s="1">
        <v>2021</v>
      </c>
      <c r="BC5" s="1">
        <v>2022</v>
      </c>
      <c r="BD5" s="1">
        <v>2021</v>
      </c>
      <c r="BE5" s="1">
        <v>2022</v>
      </c>
      <c r="BF5" s="1">
        <v>2021</v>
      </c>
      <c r="BG5" s="1">
        <v>2022</v>
      </c>
      <c r="BH5" s="1">
        <v>2021</v>
      </c>
      <c r="BI5" s="1">
        <v>2022</v>
      </c>
      <c r="BJ5" s="1">
        <v>2021</v>
      </c>
      <c r="BK5" s="1">
        <v>2022</v>
      </c>
      <c r="BL5" s="1">
        <v>2021</v>
      </c>
      <c r="BM5" s="1">
        <v>2022</v>
      </c>
      <c r="BN5" s="1">
        <v>2021</v>
      </c>
      <c r="BO5" s="1">
        <v>2022</v>
      </c>
      <c r="BP5" s="1">
        <v>2021</v>
      </c>
      <c r="BQ5" s="1">
        <v>2022</v>
      </c>
      <c r="BR5" s="1">
        <v>2021</v>
      </c>
      <c r="BS5" s="1">
        <v>2022</v>
      </c>
      <c r="BT5" s="1">
        <v>2021</v>
      </c>
      <c r="BU5" s="1">
        <v>2022</v>
      </c>
      <c r="BV5" s="1">
        <v>2021</v>
      </c>
      <c r="BW5" s="1">
        <v>2022</v>
      </c>
      <c r="BX5" s="1">
        <v>2021</v>
      </c>
      <c r="BY5" s="1">
        <v>2022</v>
      </c>
      <c r="BZ5" s="1">
        <v>2021</v>
      </c>
      <c r="CA5" s="1">
        <v>2022</v>
      </c>
      <c r="CB5" s="1">
        <v>2021</v>
      </c>
      <c r="CC5" s="1">
        <v>2022</v>
      </c>
    </row>
    <row r="6" spans="1:81" s="31" customFormat="1" ht="21.75" customHeight="1" x14ac:dyDescent="0.2">
      <c r="A6" s="99" t="s">
        <v>71</v>
      </c>
      <c r="B6" s="100"/>
      <c r="C6" s="100"/>
      <c r="D6" s="100"/>
      <c r="E6" s="100"/>
      <c r="F6" s="100"/>
      <c r="G6" s="100"/>
      <c r="H6" s="100"/>
      <c r="I6" s="100"/>
      <c r="J6" s="101"/>
      <c r="K6" s="100"/>
      <c r="L6" s="100"/>
      <c r="M6" s="100"/>
      <c r="N6" s="100"/>
      <c r="O6" s="100"/>
      <c r="P6" s="100"/>
      <c r="Q6" s="101"/>
      <c r="R6" s="100"/>
      <c r="S6" s="100"/>
      <c r="T6" s="101"/>
      <c r="U6" s="100"/>
      <c r="V6" s="100"/>
      <c r="W6" s="100"/>
      <c r="X6" s="100"/>
      <c r="Y6" s="101"/>
      <c r="Z6" s="100"/>
      <c r="AA6" s="100"/>
      <c r="AB6" s="100"/>
      <c r="AC6" s="100"/>
      <c r="AD6" s="100"/>
      <c r="AE6" s="100"/>
      <c r="AF6" s="101"/>
      <c r="AG6" s="100"/>
      <c r="AH6" s="100"/>
      <c r="AI6" s="100"/>
      <c r="AJ6" s="100"/>
      <c r="AK6" s="101"/>
      <c r="AL6" s="100"/>
      <c r="AM6" s="100"/>
      <c r="AN6" s="101"/>
      <c r="AO6" s="100"/>
      <c r="AP6" s="100"/>
      <c r="AQ6" s="100"/>
      <c r="AR6" s="100"/>
      <c r="AS6" s="100"/>
      <c r="AT6" s="100"/>
      <c r="AU6" s="101"/>
      <c r="AV6" s="100"/>
      <c r="AW6" s="100"/>
      <c r="AX6" s="100"/>
      <c r="AY6" s="100"/>
      <c r="AZ6" s="101"/>
      <c r="BA6" s="100"/>
      <c r="BB6" s="100"/>
      <c r="BC6" s="101"/>
      <c r="BD6" s="100"/>
      <c r="BE6" s="100"/>
      <c r="BF6" s="100"/>
      <c r="BG6" s="100"/>
      <c r="BH6" s="101"/>
      <c r="BI6" s="100"/>
      <c r="BJ6" s="100"/>
      <c r="BK6" s="100"/>
      <c r="BL6" s="100"/>
      <c r="BM6" s="100"/>
      <c r="BN6" s="100"/>
      <c r="BO6" s="100"/>
      <c r="BP6" s="100"/>
      <c r="BQ6" s="101"/>
      <c r="BR6" s="100"/>
      <c r="BS6" s="100"/>
      <c r="BT6" s="101"/>
      <c r="BU6" s="100"/>
      <c r="BV6" s="100"/>
      <c r="BW6" s="101"/>
      <c r="BX6" s="100"/>
      <c r="BY6" s="100"/>
      <c r="BZ6" s="100"/>
      <c r="CA6" s="100"/>
      <c r="CB6" s="89"/>
      <c r="CC6" s="89"/>
    </row>
    <row r="7" spans="1:81" s="31" customFormat="1" ht="21.75" customHeight="1" x14ac:dyDescent="0.2">
      <c r="A7" s="95" t="s">
        <v>72</v>
      </c>
      <c r="B7" s="161">
        <f>IFERROR('8'!B8/'8'!B12,0)</f>
        <v>1.3908204489222784</v>
      </c>
      <c r="C7" s="161">
        <f>IFERROR('8'!C8/'8'!C12,0)</f>
        <v>1.4397868525610065</v>
      </c>
      <c r="D7" s="161">
        <f>IFERROR('8'!D8/'8'!D12,0)</f>
        <v>1.6997732093176998</v>
      </c>
      <c r="E7" s="161">
        <f>IFERROR('8'!E8/'8'!E12,0)</f>
        <v>1.0496877990412131E-2</v>
      </c>
      <c r="F7" s="161">
        <f>IFERROR('8'!F8/'8'!F12,0)</f>
        <v>3.0475646815869446</v>
      </c>
      <c r="G7" s="161">
        <f>IFERROR('8'!G8/'8'!G12,0)</f>
        <v>1.5218758492177491</v>
      </c>
      <c r="H7" s="161">
        <f>IFERROR('8'!H8/'8'!H12,0)</f>
        <v>0.39141276188105595</v>
      </c>
      <c r="I7" s="161">
        <f>IFERROR('8'!I8/'8'!I12,0)</f>
        <v>0.41890800168589115</v>
      </c>
      <c r="J7" s="161">
        <f>IFERROR('8'!J8/'8'!J12,0)</f>
        <v>3.2011729971750138</v>
      </c>
      <c r="K7" s="161">
        <f>IFERROR('8'!K8/'8'!K12,0)</f>
        <v>2.3047560677827685</v>
      </c>
      <c r="L7" s="161">
        <f>IFERROR('8'!L8/'8'!L12,0)</f>
        <v>2.0801198149013385E-2</v>
      </c>
      <c r="M7" s="161">
        <f>IFERROR('8'!M8/'8'!M12,0)</f>
        <v>2.0801198149013385E-2</v>
      </c>
      <c r="N7" s="161">
        <f>IFERROR('8'!N8/'8'!N12,0)</f>
        <v>0.52736724842183436</v>
      </c>
      <c r="O7" s="161">
        <f>IFERROR('8'!O8/'8'!O12,0)</f>
        <v>1.5950831779973973</v>
      </c>
      <c r="P7" s="161">
        <f>IFERROR('8'!P8/'8'!P12,0)</f>
        <v>0</v>
      </c>
      <c r="Q7" s="161">
        <f>IFERROR('8'!Q8/'8'!Q12,0)</f>
        <v>0</v>
      </c>
      <c r="R7" s="161">
        <f>IFERROR('8'!R8/'8'!R12,0)</f>
        <v>6.4403752211930971</v>
      </c>
      <c r="S7" s="161">
        <f>IFERROR('8'!S8/'8'!S12,0)</f>
        <v>7.8773974337828383</v>
      </c>
      <c r="T7" s="161">
        <f>IFERROR('8'!T8/'8'!T12,0)</f>
        <v>4.5194439110688025</v>
      </c>
      <c r="U7" s="161">
        <f>IFERROR('8'!U8/'8'!U12,0)</f>
        <v>3.1215273336570579</v>
      </c>
      <c r="V7" s="161">
        <f>IFERROR('8'!V8/'8'!V12,0)</f>
        <v>0</v>
      </c>
      <c r="W7" s="161">
        <f>IFERROR('8'!W8/'8'!W12,0)</f>
        <v>0</v>
      </c>
      <c r="X7" s="161">
        <f>IFERROR('8'!X8/'8'!X12,0)</f>
        <v>17.882446639057026</v>
      </c>
      <c r="Y7" s="161">
        <f>IFERROR('8'!Y8/'8'!Y12,0)</f>
        <v>11.400043962408402</v>
      </c>
      <c r="Z7" s="161">
        <f>IFERROR('8'!Z8/'8'!Z12,0)</f>
        <v>2.3667293863970769</v>
      </c>
      <c r="AA7" s="161">
        <f>IFERROR('8'!AA8/'8'!AA12,0)</f>
        <v>6.3114052299529853</v>
      </c>
      <c r="AB7" s="161">
        <f>IFERROR('8'!AB8/'8'!AB12,0)</f>
        <v>0.65235571129051051</v>
      </c>
      <c r="AC7" s="161">
        <f>IFERROR('8'!AC8/'8'!AC12,0)</f>
        <v>0.57048189384645398</v>
      </c>
      <c r="AD7" s="161">
        <f>IFERROR('8'!AD8/'8'!AD12,0)</f>
        <v>1.1347634177195205</v>
      </c>
      <c r="AE7" s="161">
        <f>IFERROR('8'!AE8/'8'!AE12,0)</f>
        <v>1.0541737476608593</v>
      </c>
      <c r="AF7" s="161">
        <f>IFERROR('8'!AF8/'8'!AF12,0)</f>
        <v>1.3193926042254249</v>
      </c>
      <c r="AG7" s="161">
        <f>IFERROR('8'!AG8/'8'!AG12,0)</f>
        <v>1.2573787094162538</v>
      </c>
      <c r="AH7" s="161">
        <f>IFERROR('8'!AH8/'8'!AH12,0)</f>
        <v>2.0924298463424291</v>
      </c>
      <c r="AI7" s="161">
        <f>IFERROR('8'!AI8/'8'!AI12,0)</f>
        <v>4.8794258731636528</v>
      </c>
      <c r="AJ7" s="161">
        <f>IFERROR('8'!AJ8/'8'!AJ12,0)</f>
        <v>1.7643953824874699</v>
      </c>
      <c r="AK7" s="161">
        <f>IFERROR('8'!AK8/'8'!AK12,0)</f>
        <v>1.1515033997314577</v>
      </c>
      <c r="AL7" s="161">
        <f>IFERROR('8'!AL8/'8'!AL12,0)</f>
        <v>2.2912333951546757</v>
      </c>
      <c r="AM7" s="161">
        <f>IFERROR('8'!AM8/'8'!AM12,0)</f>
        <v>1.8027575729879846</v>
      </c>
      <c r="AN7" s="161">
        <f>IFERROR('8'!AN8/'8'!AN12,0)</f>
        <v>2.7511233425829604</v>
      </c>
      <c r="AO7" s="161">
        <f>IFERROR('8'!AO8/'8'!AO12,0)</f>
        <v>3.5219994967304875</v>
      </c>
      <c r="AP7" s="161">
        <f>IFERROR('8'!AP8/'8'!AP12,0)</f>
        <v>1.1410595826630545</v>
      </c>
      <c r="AQ7" s="161">
        <f>IFERROR('8'!AQ8/'8'!AQ12,0)</f>
        <v>1.5920949006478158</v>
      </c>
      <c r="AR7" s="161">
        <f>IFERROR('8'!AR8/'8'!AR12,0)</f>
        <v>2.3920227050073866</v>
      </c>
      <c r="AS7" s="161">
        <f>IFERROR('8'!AS8/'8'!AS12,0)</f>
        <v>1.19267748865362</v>
      </c>
      <c r="AT7" s="161">
        <f>IFERROR('8'!AT8/'8'!AT12,0)</f>
        <v>1.7364503387559471</v>
      </c>
      <c r="AU7" s="161">
        <f>IFERROR('8'!AU8/'8'!AU12,0)</f>
        <v>1.9508869060154084</v>
      </c>
      <c r="AV7" s="161">
        <f>IFERROR('8'!AV8/'8'!AV12,0)</f>
        <v>0</v>
      </c>
      <c r="AW7" s="161">
        <f>IFERROR('8'!AW8/'8'!AW12,0)</f>
        <v>0</v>
      </c>
      <c r="AX7" s="161">
        <f>IFERROR('8'!AX8/'8'!AX12,0)</f>
        <v>0</v>
      </c>
      <c r="AY7" s="161">
        <f>IFERROR('8'!AY8/'8'!AY12,0)</f>
        <v>0</v>
      </c>
      <c r="AZ7" s="161">
        <f>IFERROR('8'!AZ8/'8'!AZ12,0)</f>
        <v>1.0323538321720691</v>
      </c>
      <c r="BA7" s="161">
        <f>IFERROR('8'!BA8/'8'!BA12,0)</f>
        <v>2.3399207369323052</v>
      </c>
      <c r="BB7" s="161">
        <f>IFERROR('8'!BB8/'8'!BB12,0)</f>
        <v>1.9716024564045673</v>
      </c>
      <c r="BC7" s="161">
        <f>IFERROR('8'!BC8/'8'!BC12,0)</f>
        <v>3.2373589591066225</v>
      </c>
      <c r="BD7" s="161">
        <f>IFERROR('8'!BD8/'8'!BD12,0)</f>
        <v>0</v>
      </c>
      <c r="BE7" s="161">
        <f>IFERROR('8'!BE8/'8'!BE12,0)</f>
        <v>0</v>
      </c>
      <c r="BF7" s="161">
        <f>IFERROR('8'!BF8/'8'!BF12,0)</f>
        <v>2.1078322097924245</v>
      </c>
      <c r="BG7" s="161">
        <f>IFERROR('8'!BG8/'8'!BG12,0)</f>
        <v>1.6469512872299792</v>
      </c>
      <c r="BH7" s="161">
        <f>IFERROR('8'!BH8/'8'!BH12,0)</f>
        <v>4.3688201000118632</v>
      </c>
      <c r="BI7" s="161">
        <f>IFERROR('8'!BI8/'8'!BI12,0)</f>
        <v>3.1849120558955408</v>
      </c>
      <c r="BJ7" s="161">
        <f>IFERROR('8'!BJ8/'8'!BJ12,0)</f>
        <v>1.7421214818146578</v>
      </c>
      <c r="BK7" s="161">
        <f>IFERROR('8'!BK8/'8'!BK12,0)</f>
        <v>1.2936024280847305</v>
      </c>
      <c r="BL7" s="161">
        <f>IFERROR('8'!BL8/'8'!BL12,0)</f>
        <v>1.7786961599485009</v>
      </c>
      <c r="BM7" s="161">
        <f>IFERROR('8'!BM8/'8'!BM12,0)</f>
        <v>1.7246423277796568</v>
      </c>
      <c r="BN7" s="161">
        <f>IFERROR('8'!BN8/'8'!BN12,0)</f>
        <v>7.096632057461072</v>
      </c>
      <c r="BO7" s="161">
        <f>IFERROR('8'!BO8/'8'!BO12,0)</f>
        <v>7.4851908347166587</v>
      </c>
      <c r="BP7" s="161">
        <f>IFERROR('8'!BP8/'8'!BP12,0)</f>
        <v>2.9728531425015556</v>
      </c>
      <c r="BQ7" s="161">
        <f>IFERROR('8'!BQ8/'8'!BQ12,0)</f>
        <v>0.30040667808219179</v>
      </c>
      <c r="BR7" s="161">
        <f>IFERROR('8'!BR8/'8'!BR12,0)</f>
        <v>2.2701030946442589</v>
      </c>
      <c r="BS7" s="161">
        <f>IFERROR('8'!BS8/'8'!BS12,0)</f>
        <v>0.69177978290380404</v>
      </c>
      <c r="BT7" s="161">
        <f>IFERROR('8'!BT8/'8'!BT12,0)</f>
        <v>1.0426717284850842</v>
      </c>
      <c r="BU7" s="161">
        <f>IFERROR('8'!BU8/'8'!BU12,0)</f>
        <v>1.170698093403824</v>
      </c>
      <c r="BV7" s="161">
        <f>IFERROR('8'!BV8/'8'!BV12,0)</f>
        <v>1.9741406924345395</v>
      </c>
      <c r="BW7" s="161">
        <f>IFERROR('8'!BW8/'8'!BW12,0)</f>
        <v>1.7468746199748248</v>
      </c>
      <c r="BX7" s="161">
        <f>IFERROR('8'!BX8/'8'!BX12,0)</f>
        <v>1.059939726139975</v>
      </c>
      <c r="BY7" s="161">
        <f>IFERROR('8'!BY8/'8'!BY12,0)</f>
        <v>2.6176804536083194</v>
      </c>
      <c r="BZ7" s="161">
        <f>IFERROR('8'!BZ8/'8'!BZ12,0)</f>
        <v>46.972459016393444</v>
      </c>
      <c r="CA7" s="161">
        <f>IFERROR('8'!CA8/'8'!CA12,0)</f>
        <v>19.182028592561881</v>
      </c>
      <c r="CB7" s="161">
        <f>IFERROR('8'!CB8/'8'!CB12,0)</f>
        <v>1.1667892286015498</v>
      </c>
      <c r="CC7" s="161">
        <f>IFERROR('8'!CC8/'8'!CC12,0)</f>
        <v>1.1808459102602948</v>
      </c>
    </row>
    <row r="8" spans="1:81" s="31" customFormat="1" ht="21.75" customHeight="1" x14ac:dyDescent="0.2">
      <c r="A8" s="99" t="s">
        <v>73</v>
      </c>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row>
    <row r="9" spans="1:81" s="31" customFormat="1" ht="21.75" customHeight="1" x14ac:dyDescent="0.2">
      <c r="A9" s="96" t="s">
        <v>74</v>
      </c>
      <c r="B9" s="86">
        <f>IFERROR('8'!B12/'8'!B14,0)</f>
        <v>0.45011146315167488</v>
      </c>
      <c r="C9" s="86">
        <f>IFERROR('8'!C12/'8'!C14,0)</f>
        <v>0.51064913210498963</v>
      </c>
      <c r="D9" s="86">
        <f>IFERROR('8'!D12/'8'!D14,0)</f>
        <v>1</v>
      </c>
      <c r="E9" s="86">
        <f>IFERROR('8'!E12/'8'!E14,0)</f>
        <v>1</v>
      </c>
      <c r="F9" s="86">
        <f>IFERROR('8'!F12/'8'!F14,0)</f>
        <v>0.28277861566144363</v>
      </c>
      <c r="G9" s="86">
        <f>IFERROR('8'!G12/'8'!G14,0)</f>
        <v>0.23576017914564126</v>
      </c>
      <c r="H9" s="86">
        <f>IFERROR('8'!H12/'8'!H14,0)</f>
        <v>0.1959232527862369</v>
      </c>
      <c r="I9" s="86">
        <f>IFERROR('8'!I12/'8'!I14,0)</f>
        <v>0.1360610439829138</v>
      </c>
      <c r="J9" s="86">
        <f>IFERROR('8'!J12/'8'!J14,0)</f>
        <v>1</v>
      </c>
      <c r="K9" s="86">
        <f>IFERROR('8'!K12/'8'!K14,0)</f>
        <v>1</v>
      </c>
      <c r="L9" s="86">
        <f>IFERROR('8'!L12/'8'!L14,0)</f>
        <v>1</v>
      </c>
      <c r="M9" s="86">
        <f>IFERROR('8'!M12/'8'!M14,0)</f>
        <v>1</v>
      </c>
      <c r="N9" s="86">
        <f>IFERROR('8'!N12/'8'!N14,0)</f>
        <v>5.8196073007654309E-2</v>
      </c>
      <c r="O9" s="86">
        <f>IFERROR('8'!O12/'8'!O14,0)</f>
        <v>6.8673270005047901E-2</v>
      </c>
      <c r="P9" s="86">
        <f>IFERROR('8'!P12/'8'!P14,0)</f>
        <v>0</v>
      </c>
      <c r="Q9" s="86">
        <f>IFERROR('8'!Q12/'8'!Q14,0)</f>
        <v>0</v>
      </c>
      <c r="R9" s="86">
        <f>IFERROR('8'!R12/'8'!R14,0)</f>
        <v>1</v>
      </c>
      <c r="S9" s="86">
        <f>IFERROR('8'!S12/'8'!S14,0)</f>
        <v>1</v>
      </c>
      <c r="T9" s="86">
        <f>IFERROR('8'!T12/'8'!T14,0)</f>
        <v>0.21809405090077139</v>
      </c>
      <c r="U9" s="86">
        <f>IFERROR('8'!U12/'8'!U14,0)</f>
        <v>0.32988528696224978</v>
      </c>
      <c r="V9" s="86">
        <f>IFERROR('8'!V12/'8'!V14,0)</f>
        <v>0</v>
      </c>
      <c r="W9" s="86">
        <f>IFERROR('8'!W12/'8'!W14,0)</f>
        <v>0</v>
      </c>
      <c r="X9" s="86">
        <f>IFERROR('8'!X12/'8'!X14,0)</f>
        <v>0.13496762939030232</v>
      </c>
      <c r="Y9" s="86">
        <f>IFERROR('8'!Y12/'8'!Y14,0)</f>
        <v>0.45051467356172031</v>
      </c>
      <c r="Z9" s="86">
        <f>IFERROR('8'!Z12/'8'!Z14,0)</f>
        <v>0.75111625859661513</v>
      </c>
      <c r="AA9" s="86">
        <f>IFERROR('8'!AA12/'8'!AA14,0)</f>
        <v>0.25719339110178052</v>
      </c>
      <c r="AB9" s="86">
        <f>IFERROR('8'!AB12/'8'!AB14,0)</f>
        <v>1</v>
      </c>
      <c r="AC9" s="86">
        <f>IFERROR('8'!AC12/'8'!AC14,0)</f>
        <v>0.73225307334129164</v>
      </c>
      <c r="AD9" s="86">
        <f>IFERROR('8'!AD12/'8'!AD14,0)</f>
        <v>0.53153416983085922</v>
      </c>
      <c r="AE9" s="86">
        <f>IFERROR('8'!AE12/'8'!AE14,0)</f>
        <v>0.60732387067897209</v>
      </c>
      <c r="AF9" s="86">
        <f>IFERROR('8'!AF12/'8'!AF14,0)</f>
        <v>0.65992015073703836</v>
      </c>
      <c r="AG9" s="86">
        <f>IFERROR('8'!AG12/'8'!AG14,0)</f>
        <v>0.75087886969658724</v>
      </c>
      <c r="AH9" s="86">
        <f>IFERROR('8'!AH12/'8'!AH14,0)</f>
        <v>0.99204293550004108</v>
      </c>
      <c r="AI9" s="86">
        <f>IFERROR('8'!AI12/'8'!AI14,0)</f>
        <v>0.95807134011870887</v>
      </c>
      <c r="AJ9" s="86">
        <f>IFERROR('8'!AJ12/'8'!AJ14,0)</f>
        <v>0.97283569749145882</v>
      </c>
      <c r="AK9" s="86">
        <f>IFERROR('8'!AK12/'8'!AK14,0)</f>
        <v>0.49310891536698181</v>
      </c>
      <c r="AL9" s="86">
        <f>IFERROR('8'!AL12/'8'!AL14,0)</f>
        <v>0.13464763648193381</v>
      </c>
      <c r="AM9" s="86">
        <f>IFERROR('8'!AM12/'8'!AM14,0)</f>
        <v>0.18326106031387437</v>
      </c>
      <c r="AN9" s="86">
        <f>IFERROR('8'!AN12/'8'!AN14,0)</f>
        <v>0.5527282450241896</v>
      </c>
      <c r="AO9" s="86">
        <f>IFERROR('8'!AO12/'8'!AO14,0)</f>
        <v>0.48769574647254355</v>
      </c>
      <c r="AP9" s="86">
        <f>IFERROR('8'!AP12/'8'!AP14,0)</f>
        <v>1</v>
      </c>
      <c r="AQ9" s="86">
        <f>IFERROR('8'!AQ12/'8'!AQ14,0)</f>
        <v>0.91784226009610037</v>
      </c>
      <c r="AR9" s="86">
        <f>IFERROR('8'!AR12/'8'!AR14,0)</f>
        <v>0.53250065799624258</v>
      </c>
      <c r="AS9" s="86">
        <f>IFERROR('8'!AS12/'8'!AS14,0)</f>
        <v>0.77685400823849593</v>
      </c>
      <c r="AT9" s="86">
        <f>IFERROR('8'!AT12/'8'!AT14,0)</f>
        <v>0.69941976425648644</v>
      </c>
      <c r="AU9" s="86">
        <f>IFERROR('8'!AU12/'8'!AU14,0)</f>
        <v>0.89099961232381142</v>
      </c>
      <c r="AV9" s="86">
        <f>IFERROR('8'!AV12/'8'!AV14,0)</f>
        <v>0</v>
      </c>
      <c r="AW9" s="86">
        <f>IFERROR('8'!AW12/'8'!AW14,0)</f>
        <v>0</v>
      </c>
      <c r="AX9" s="86">
        <f>IFERROR('8'!AX12/'8'!AX14,0)</f>
        <v>0</v>
      </c>
      <c r="AY9" s="86">
        <f>IFERROR('8'!AY12/'8'!AY14,0)</f>
        <v>0</v>
      </c>
      <c r="AZ9" s="86">
        <f>IFERROR('8'!AZ12/'8'!AZ14,0)</f>
        <v>0.10009217819500539</v>
      </c>
      <c r="BA9" s="86">
        <f>IFERROR('8'!BA12/'8'!BA14,0)</f>
        <v>0.11000742338011241</v>
      </c>
      <c r="BB9" s="86">
        <f>IFERROR('8'!BB12/'8'!BB14,0)</f>
        <v>0.97922421960794515</v>
      </c>
      <c r="BC9" s="86">
        <f>IFERROR('8'!BC12/'8'!BC14,0)</f>
        <v>0.9658301336263867</v>
      </c>
      <c r="BD9" s="86">
        <f>IFERROR('8'!BD12/'8'!BD14,0)</f>
        <v>0</v>
      </c>
      <c r="BE9" s="86">
        <f>IFERROR('8'!BE12/'8'!BE14,0)</f>
        <v>0</v>
      </c>
      <c r="BF9" s="86">
        <f>IFERROR('8'!BF12/'8'!BF14,0)</f>
        <v>0.23793836309583763</v>
      </c>
      <c r="BG9" s="86">
        <f>IFERROR('8'!BG12/'8'!BG14,0)</f>
        <v>0.33905627210832523</v>
      </c>
      <c r="BH9" s="86">
        <f>IFERROR('8'!BH12/'8'!BH14,0)</f>
        <v>1</v>
      </c>
      <c r="BI9" s="86">
        <f>IFERROR('8'!BI12/'8'!BI14,0)</f>
        <v>1</v>
      </c>
      <c r="BJ9" s="86">
        <f>IFERROR('8'!BJ12/'8'!BJ14,0)</f>
        <v>0.32851869390512395</v>
      </c>
      <c r="BK9" s="86">
        <f>IFERROR('8'!BK12/'8'!BK14,0)</f>
        <v>0.5904299050093198</v>
      </c>
      <c r="BL9" s="86">
        <f>IFERROR('8'!BL12/'8'!BL14,0)</f>
        <v>0.51372424009645934</v>
      </c>
      <c r="BM9" s="86">
        <f>IFERROR('8'!BM12/'8'!BM14,0)</f>
        <v>0.74671219061841443</v>
      </c>
      <c r="BN9" s="86">
        <f>IFERROR('8'!BN12/'8'!BN14,0)</f>
        <v>0.21478061113991515</v>
      </c>
      <c r="BO9" s="86">
        <f>IFERROR('8'!BO12/'8'!BO14,0)</f>
        <v>0.22052353585107501</v>
      </c>
      <c r="BP9" s="86">
        <f>IFERROR('8'!BP12/'8'!BP14,0)</f>
        <v>8.617372827391126E-2</v>
      </c>
      <c r="BQ9" s="86">
        <f>IFERROR('8'!BQ12/'8'!BQ14,0)</f>
        <v>0.48967796756093085</v>
      </c>
      <c r="BR9" s="86">
        <f>IFERROR('8'!BR12/'8'!BR14,0)</f>
        <v>0.26983730911673687</v>
      </c>
      <c r="BS9" s="86">
        <f>IFERROR('8'!BS12/'8'!BS14,0)</f>
        <v>0.36349640401228006</v>
      </c>
      <c r="BT9" s="86">
        <f>IFERROR('8'!BT12/'8'!BT14,0)</f>
        <v>0.22930721982027497</v>
      </c>
      <c r="BU9" s="86">
        <f>IFERROR('8'!BU12/'8'!BU14,0)</f>
        <v>0.17721134523283441</v>
      </c>
      <c r="BV9" s="86">
        <f>IFERROR('8'!BV12/'8'!BV14,0)</f>
        <v>0.8201032921905218</v>
      </c>
      <c r="BW9" s="86">
        <f>IFERROR('8'!BW12/'8'!BW14,0)</f>
        <v>0.85697192285687962</v>
      </c>
      <c r="BX9" s="86">
        <f>IFERROR('8'!BX12/'8'!BX14,0)</f>
        <v>0.1331901449152629</v>
      </c>
      <c r="BY9" s="86">
        <f>IFERROR('8'!BY12/'8'!BY14,0)</f>
        <v>0.18874125263743993</v>
      </c>
      <c r="BZ9" s="86">
        <f>IFERROR('8'!BZ12/'8'!BZ14,0)</f>
        <v>1</v>
      </c>
      <c r="CA9" s="86">
        <f>IFERROR('8'!CA12/'8'!CA14,0)</f>
        <v>1</v>
      </c>
      <c r="CB9" s="86">
        <f>IFERROR('8'!CB12/'8'!CB14,0)</f>
        <v>0.42521145496715756</v>
      </c>
      <c r="CC9" s="86">
        <f>IFERROR('8'!CC12/'8'!CC14,0)</f>
        <v>0.4845349872992919</v>
      </c>
    </row>
    <row r="10" spans="1:81" s="31" customFormat="1" ht="21.75" customHeight="1" x14ac:dyDescent="0.2">
      <c r="A10" s="96" t="s">
        <v>75</v>
      </c>
      <c r="B10" s="86">
        <f>IFERROR('8'!B14/'8'!B26,0)</f>
        <v>2.1832146134470394</v>
      </c>
      <c r="C10" s="86">
        <f>IFERROR('8'!C14/'8'!C26,0)</f>
        <v>2.4625685547209843</v>
      </c>
      <c r="D10" s="86">
        <f>IFERROR('8'!D14/'8'!D26,0)</f>
        <v>6.9079314579147136E-2</v>
      </c>
      <c r="E10" s="86">
        <f>IFERROR('8'!E14/'8'!E26,0)</f>
        <v>0.48969634479714808</v>
      </c>
      <c r="F10" s="86">
        <f>IFERROR('8'!F14/'8'!F26,0)</f>
        <v>0.40625295343363382</v>
      </c>
      <c r="G10" s="86">
        <f>IFERROR('8'!G14/'8'!G26,0)</f>
        <v>0.41952227821774257</v>
      </c>
      <c r="H10" s="86">
        <f>IFERROR('8'!H14/'8'!H26,0)</f>
        <v>2.2740168766068738</v>
      </c>
      <c r="I10" s="86">
        <f>IFERROR('8'!I14/'8'!I26,0)</f>
        <v>3.3185883641900999</v>
      </c>
      <c r="J10" s="86">
        <f>IFERROR('8'!J14/'8'!J26,0)</f>
        <v>0.13864728761767073</v>
      </c>
      <c r="K10" s="86">
        <f>IFERROR('8'!K14/'8'!K26,0)</f>
        <v>0.23693090423157706</v>
      </c>
      <c r="L10" s="86">
        <f>IFERROR('8'!L14/'8'!L26,0)</f>
        <v>0.14738422429529402</v>
      </c>
      <c r="M10" s="86">
        <f>IFERROR('8'!M14/'8'!M26,0)</f>
        <v>0.14738422429529402</v>
      </c>
      <c r="N10" s="86">
        <f>IFERROR('8'!N14/'8'!N26,0)</f>
        <v>0.37938209579777921</v>
      </c>
      <c r="O10" s="86">
        <f>IFERROR('8'!O14/'8'!O26,0)</f>
        <v>0.33093517704420111</v>
      </c>
      <c r="P10" s="86">
        <f>IFERROR('8'!P14/'8'!P26,0)</f>
        <v>0</v>
      </c>
      <c r="Q10" s="86">
        <f>IFERROR('8'!Q14/'8'!Q26,0)</f>
        <v>0</v>
      </c>
      <c r="R10" s="86">
        <f>IFERROR('8'!R14/'8'!R26,0)</f>
        <v>0.10197882120725744</v>
      </c>
      <c r="S10" s="86">
        <f>IFERROR('8'!S14/'8'!S26,0)</f>
        <v>8.2809415134931549E-2</v>
      </c>
      <c r="T10" s="86">
        <f>IFERROR('8'!T14/'8'!T26,0)</f>
        <v>0.25838519068431665</v>
      </c>
      <c r="U10" s="86">
        <f>IFERROR('8'!U14/'8'!U26,0)</f>
        <v>0.2858767914251627</v>
      </c>
      <c r="V10" s="86">
        <f>IFERROR('8'!V14/'8'!V26,0)</f>
        <v>0</v>
      </c>
      <c r="W10" s="86">
        <f>IFERROR('8'!W14/'8'!W26,0)</f>
        <v>0</v>
      </c>
      <c r="X10" s="86">
        <f>IFERROR('8'!X14/'8'!X26,0)</f>
        <v>0.21531138762384716</v>
      </c>
      <c r="Y10" s="86">
        <f>IFERROR('8'!Y14/'8'!Y26,0)</f>
        <v>8.564030814991723E-2</v>
      </c>
      <c r="Z10" s="86">
        <f>IFERROR('8'!Z14/'8'!Z26,0)</f>
        <v>0.25331720679308173</v>
      </c>
      <c r="AA10" s="86">
        <f>IFERROR('8'!AA14/'8'!AA26,0)</f>
        <v>0.42851251207759666</v>
      </c>
      <c r="AB10" s="86">
        <f>IFERROR('8'!AB14/'8'!AB26,0)</f>
        <v>0.88332854144350292</v>
      </c>
      <c r="AC10" s="86">
        <f>IFERROR('8'!AC14/'8'!AC26,0)</f>
        <v>0.65109917829643127</v>
      </c>
      <c r="AD10" s="86">
        <f>IFERROR('8'!AD14/'8'!AD26,0)</f>
        <v>0.82374334854922937</v>
      </c>
      <c r="AE10" s="86">
        <f>IFERROR('8'!AE14/'8'!AE26,0)</f>
        <v>0.68481019452521996</v>
      </c>
      <c r="AF10" s="86">
        <f>IFERROR('8'!AF14/'8'!AF26,0)</f>
        <v>0.48058098137814476</v>
      </c>
      <c r="AG10" s="86">
        <f>IFERROR('8'!AG14/'8'!AG26,0)</f>
        <v>0.51729496502332339</v>
      </c>
      <c r="AH10" s="86">
        <f>IFERROR('8'!AH14/'8'!AH26,0)</f>
        <v>0.88622908525815369</v>
      </c>
      <c r="AI10" s="86">
        <f>IFERROR('8'!AI14/'8'!AI26,0)</f>
        <v>0.26040942218196095</v>
      </c>
      <c r="AJ10" s="86">
        <f>IFERROR('8'!AJ14/'8'!AJ26,0)</f>
        <v>1.1815982277592314</v>
      </c>
      <c r="AK10" s="86">
        <f>IFERROR('8'!AK14/'8'!AK26,0)</f>
        <v>1.4274174437286844</v>
      </c>
      <c r="AL10" s="86">
        <f>IFERROR('8'!AL14/'8'!AL26,0)</f>
        <v>2.2905848369765494</v>
      </c>
      <c r="AM10" s="86">
        <f>IFERROR('8'!AM14/'8'!AM26,0)</f>
        <v>2.1469826238899183</v>
      </c>
      <c r="AN10" s="86">
        <f>IFERROR('8'!AN14/'8'!AN26,0)</f>
        <v>0.29839491093414233</v>
      </c>
      <c r="AO10" s="86">
        <f>IFERROR('8'!AO14/'8'!AO26,0)</f>
        <v>0.53568430417614954</v>
      </c>
      <c r="AP10" s="86">
        <f>IFERROR('8'!AP14/'8'!AP26,0)</f>
        <v>0.61103508143123986</v>
      </c>
      <c r="AQ10" s="86">
        <f>IFERROR('8'!AQ14/'8'!AQ26,0)</f>
        <v>0.59063788288110508</v>
      </c>
      <c r="AR10" s="86">
        <f>IFERROR('8'!AR14/'8'!AR26,0)</f>
        <v>0.33919978859236105</v>
      </c>
      <c r="AS10" s="86">
        <f>IFERROR('8'!AS14/'8'!AS26,0)</f>
        <v>0.2116437710550747</v>
      </c>
      <c r="AT10" s="86">
        <f>IFERROR('8'!AT14/'8'!AT26,0)</f>
        <v>0.77576735006207975</v>
      </c>
      <c r="AU10" s="86">
        <f>IFERROR('8'!AU14/'8'!AU26,0)</f>
        <v>0.60996004511977997</v>
      </c>
      <c r="AV10" s="86">
        <f>IFERROR('8'!AV14/'8'!AV26,0)</f>
        <v>0</v>
      </c>
      <c r="AW10" s="86">
        <f>IFERROR('8'!AW14/'8'!AW26,0)</f>
        <v>0</v>
      </c>
      <c r="AX10" s="86">
        <f>IFERROR('8'!AX14/'8'!AX26,0)</f>
        <v>0</v>
      </c>
      <c r="AY10" s="86">
        <f>IFERROR('8'!AY14/'8'!AY26,0)</f>
        <v>0</v>
      </c>
      <c r="AZ10" s="86">
        <f>IFERROR('8'!AZ14/'8'!AZ26,0)</f>
        <v>343.53750000000002</v>
      </c>
      <c r="BA10" s="86">
        <f>IFERROR('8'!BA14/'8'!BA26,0)</f>
        <v>59.079011486251304</v>
      </c>
      <c r="BB10" s="86">
        <f>IFERROR('8'!BB14/'8'!BB26,0)</f>
        <v>0.56470980324957898</v>
      </c>
      <c r="BC10" s="86">
        <f>IFERROR('8'!BC14/'8'!BC26,0)</f>
        <v>0.27098961257344056</v>
      </c>
      <c r="BD10" s="86">
        <f>IFERROR('8'!BD14/'8'!BD26,0)</f>
        <v>0</v>
      </c>
      <c r="BE10" s="86">
        <f>IFERROR('8'!BE14/'8'!BE26,0)</f>
        <v>0</v>
      </c>
      <c r="BF10" s="86">
        <f>IFERROR('8'!BF14/'8'!BF26,0)</f>
        <v>1.4865459771019351</v>
      </c>
      <c r="BG10" s="86">
        <f>IFERROR('8'!BG14/'8'!BG26,0)</f>
        <v>1.6629311170008405</v>
      </c>
      <c r="BH10" s="86">
        <f>IFERROR('8'!BH14/'8'!BH26,0)</f>
        <v>0.153789931045163</v>
      </c>
      <c r="BI10" s="86">
        <f>IFERROR('8'!BI14/'8'!BI26,0)</f>
        <v>0.26692091112470923</v>
      </c>
      <c r="BJ10" s="86">
        <f>IFERROR('8'!BJ14/'8'!BJ26,0)</f>
        <v>0.55771271718239812</v>
      </c>
      <c r="BK10" s="86">
        <f>IFERROR('8'!BK14/'8'!BK26,0)</f>
        <v>0.89251538419847531</v>
      </c>
      <c r="BL10" s="86">
        <f>IFERROR('8'!BL14/'8'!BL26,0)</f>
        <v>0.80427796028531418</v>
      </c>
      <c r="BM10" s="86">
        <f>IFERROR('8'!BM14/'8'!BM26,0)</f>
        <v>0.65794682073517252</v>
      </c>
      <c r="BN10" s="86">
        <f>IFERROR('8'!BN14/'8'!BN26,0)</f>
        <v>0.98057540375088703</v>
      </c>
      <c r="BO10" s="86">
        <f>IFERROR('8'!BO14/'8'!BO26,0)</f>
        <v>0.98297287594153404</v>
      </c>
      <c r="BP10" s="86">
        <f>IFERROR('8'!BP14/'8'!BP26,0)</f>
        <v>0.2452273481907154</v>
      </c>
      <c r="BQ10" s="86">
        <f>IFERROR('8'!BQ14/'8'!BQ26,0)</f>
        <v>0.42216055713493328</v>
      </c>
      <c r="BR10" s="86">
        <f>IFERROR('8'!BR14/'8'!BR26,0)</f>
        <v>2.7617034522035735</v>
      </c>
      <c r="BS10" s="86">
        <f>IFERROR('8'!BS14/'8'!BS26,0)</f>
        <v>27.801787299499981</v>
      </c>
      <c r="BT10" s="86">
        <f>IFERROR('8'!BT14/'8'!BT26,0)</f>
        <v>1.5637938121974648</v>
      </c>
      <c r="BU10" s="86">
        <f>IFERROR('8'!BU14/'8'!BU26,0)</f>
        <v>3.908110319567148</v>
      </c>
      <c r="BV10" s="86">
        <f>IFERROR('8'!BV14/'8'!BV26,0)</f>
        <v>0.4250336452180285</v>
      </c>
      <c r="BW10" s="86">
        <f>IFERROR('8'!BW14/'8'!BW26,0)</f>
        <v>0.53320352059925147</v>
      </c>
      <c r="BX10" s="86">
        <f>IFERROR('8'!BX14/'8'!BX26,0)</f>
        <v>1.1708015049960534</v>
      </c>
      <c r="BY10" s="86">
        <f>IFERROR('8'!BY14/'8'!BY26,0)</f>
        <v>0.55760696063582882</v>
      </c>
      <c r="BZ10" s="86">
        <f>IFERROR('8'!BZ14/'8'!BZ26,0)</f>
        <v>1.6531613322854279E-2</v>
      </c>
      <c r="CA10" s="86">
        <f>IFERROR('8'!CA14/'8'!CA26,0)</f>
        <v>4.2740028302900281E-2</v>
      </c>
      <c r="CB10" s="86">
        <f>IFERROR('8'!CB14/'8'!CB26,0)</f>
        <v>5.9299667930679254</v>
      </c>
      <c r="CC10" s="86">
        <f>IFERROR('8'!CC14/'8'!CC26,0)</f>
        <v>10.54585302611566</v>
      </c>
    </row>
    <row r="11" spans="1:81" s="31" customFormat="1" ht="21.75" customHeight="1" x14ac:dyDescent="0.2">
      <c r="A11" s="97" t="s">
        <v>76</v>
      </c>
      <c r="B11" s="86">
        <f>IFERROR('8'!B13/'8'!B26,0)</f>
        <v>1.2005246894142743</v>
      </c>
      <c r="C11" s="86">
        <f>IFERROR('8'!C13/'8'!C26,0)</f>
        <v>1.2050600595036751</v>
      </c>
      <c r="D11" s="86">
        <f>IFERROR('8'!D13/'8'!D26,0)</f>
        <v>0</v>
      </c>
      <c r="E11" s="86">
        <f>IFERROR('8'!E13/'8'!E26,0)</f>
        <v>0</v>
      </c>
      <c r="F11" s="86">
        <f>IFERROR('8'!F13/'8'!F26,0)</f>
        <v>0.29137330565329789</v>
      </c>
      <c r="G11" s="86">
        <f>IFERROR('8'!G13/'8'!G26,0)</f>
        <v>0.32061563074954003</v>
      </c>
      <c r="H11" s="86">
        <f>IFERROR('8'!H13/'8'!H26,0)</f>
        <v>1.8284840932512563</v>
      </c>
      <c r="I11" s="86">
        <f>IFERROR('8'!I13/'8'!I26,0)</f>
        <v>2.8670577668088448</v>
      </c>
      <c r="J11" s="86">
        <f>IFERROR('8'!J13/'8'!J26,0)</f>
        <v>0</v>
      </c>
      <c r="K11" s="86">
        <f>IFERROR('8'!K13/'8'!K26,0)</f>
        <v>0</v>
      </c>
      <c r="L11" s="86">
        <f>IFERROR('8'!L13/'8'!L26,0)</f>
        <v>0</v>
      </c>
      <c r="M11" s="86">
        <f>IFERROR('8'!M13/'8'!M26,0)</f>
        <v>0</v>
      </c>
      <c r="N11" s="86">
        <f>IFERROR('8'!N13/'8'!N26,0)</f>
        <v>0.35730354765293476</v>
      </c>
      <c r="O11" s="86">
        <f>IFERROR('8'!O13/'8'!O26,0)</f>
        <v>0.30820877627687637</v>
      </c>
      <c r="P11" s="86">
        <f>IFERROR('8'!P13/'8'!P26,0)</f>
        <v>0</v>
      </c>
      <c r="Q11" s="86">
        <f>IFERROR('8'!Q13/'8'!Q26,0)</f>
        <v>0</v>
      </c>
      <c r="R11" s="86">
        <f>IFERROR('8'!R13/'8'!R26,0)</f>
        <v>0</v>
      </c>
      <c r="S11" s="86">
        <f>IFERROR('8'!S13/'8'!S26,0)</f>
        <v>0</v>
      </c>
      <c r="T11" s="86">
        <f>IFERROR('8'!T13/'8'!T26,0)</f>
        <v>0.20203291775520579</v>
      </c>
      <c r="U11" s="86">
        <f>IFERROR('8'!U13/'8'!U26,0)</f>
        <v>0.19157024405002565</v>
      </c>
      <c r="V11" s="86">
        <f>IFERROR('8'!V13/'8'!V26,0)</f>
        <v>0</v>
      </c>
      <c r="W11" s="86">
        <f>IFERROR('8'!W13/'8'!W26,0)</f>
        <v>0</v>
      </c>
      <c r="X11" s="86">
        <f>IFERROR('8'!X13/'8'!X26,0)</f>
        <v>0.18625132005552003</v>
      </c>
      <c r="Y11" s="86">
        <f>IFERROR('8'!Y13/'8'!Y26,0)</f>
        <v>4.7058092680032131E-2</v>
      </c>
      <c r="Z11" s="86">
        <f>IFERROR('8'!Z13/'8'!Z26,0)</f>
        <v>6.304653418851712E-2</v>
      </c>
      <c r="AA11" s="86">
        <f>IFERROR('8'!AA13/'8'!AA26,0)</f>
        <v>0.31830192596681689</v>
      </c>
      <c r="AB11" s="86">
        <f>IFERROR('8'!AB13/'8'!AB26,0)</f>
        <v>0</v>
      </c>
      <c r="AC11" s="86">
        <f>IFERROR('8'!AC13/'8'!AC26,0)</f>
        <v>0.1743298039388799</v>
      </c>
      <c r="AD11" s="86">
        <f>IFERROR('8'!AD13/'8'!AD26,0)</f>
        <v>0.3858956116244226</v>
      </c>
      <c r="AE11" s="86">
        <f>IFERROR('8'!AE13/'8'!AE26,0)</f>
        <v>0.26890861650574349</v>
      </c>
      <c r="AF11" s="86">
        <f>IFERROR('8'!AF13/'8'!AF26,0)</f>
        <v>0.16343590770572566</v>
      </c>
      <c r="AG11" s="86">
        <f>IFERROR('8'!AG13/'8'!AG26,0)</f>
        <v>0.12886910638687471</v>
      </c>
      <c r="AH11" s="86">
        <f>IFERROR('8'!AH13/'8'!AH26,0)</f>
        <v>7.0517819931387102E-3</v>
      </c>
      <c r="AI11" s="86">
        <f>IFERROR('8'!AI13/'8'!AI26,0)</f>
        <v>1.0918618092550984E-2</v>
      </c>
      <c r="AJ11" s="86">
        <f>IFERROR('8'!AJ13/'8'!AJ26,0)</f>
        <v>3.2097291702407937E-2</v>
      </c>
      <c r="AK11" s="86">
        <f>IFERROR('8'!AK13/'8'!AK26,0)</f>
        <v>0.72354517627572301</v>
      </c>
      <c r="AL11" s="86">
        <f>IFERROR('8'!AL13/'8'!AL26,0)</f>
        <v>1.9821630025163015</v>
      </c>
      <c r="AM11" s="86">
        <f>IFERROR('8'!AM13/'8'!AM26,0)</f>
        <v>1.7535243117603878</v>
      </c>
      <c r="AN11" s="86">
        <f>IFERROR('8'!AN13/'8'!AN26,0)</f>
        <v>0.13346361548936447</v>
      </c>
      <c r="AO11" s="86">
        <f>IFERROR('8'!AO13/'8'!AO26,0)</f>
        <v>0.27443334757733717</v>
      </c>
      <c r="AP11" s="86">
        <f>IFERROR('8'!AP13/'8'!AP26,0)</f>
        <v>0</v>
      </c>
      <c r="AQ11" s="86">
        <f>IFERROR('8'!AQ13/'8'!AQ26,0)</f>
        <v>4.8525473559135779E-2</v>
      </c>
      <c r="AR11" s="86">
        <f>IFERROR('8'!AR13/'8'!AR26,0)</f>
        <v>0.1585756779747424</v>
      </c>
      <c r="AS11" s="86">
        <f>IFERROR('8'!AS13/'8'!AS26,0)</f>
        <v>4.722745919222935E-2</v>
      </c>
      <c r="AT11" s="86">
        <f>IFERROR('8'!AT13/'8'!AT26,0)</f>
        <v>0.23318033296378071</v>
      </c>
      <c r="AU11" s="86">
        <f>IFERROR('8'!AU13/'8'!AU26,0)</f>
        <v>6.6485881385041509E-2</v>
      </c>
      <c r="AV11" s="86">
        <f>IFERROR('8'!AV13/'8'!AV26,0)</f>
        <v>0</v>
      </c>
      <c r="AW11" s="86">
        <f>IFERROR('8'!AW13/'8'!AW26,0)</f>
        <v>0</v>
      </c>
      <c r="AX11" s="86">
        <f>IFERROR('8'!AX13/'8'!AX26,0)</f>
        <v>0</v>
      </c>
      <c r="AY11" s="86">
        <f>IFERROR('8'!AY13/'8'!AY26,0)</f>
        <v>0</v>
      </c>
      <c r="AZ11" s="86">
        <f>IFERROR('8'!AZ13/'8'!AZ26,0)</f>
        <v>309.15208333333334</v>
      </c>
      <c r="BA11" s="86">
        <f>IFERROR('8'!BA13/'8'!BA26,0)</f>
        <v>52.579881656804737</v>
      </c>
      <c r="BB11" s="86">
        <f>IFERROR('8'!BB13/'8'!BB26,0)</f>
        <v>1.173228685755375E-2</v>
      </c>
      <c r="BC11" s="86">
        <f>IFERROR('8'!BC13/'8'!BC26,0)</f>
        <v>9.2596788502716642E-3</v>
      </c>
      <c r="BD11" s="86">
        <f>IFERROR('8'!BD13/'8'!BD26,0)</f>
        <v>0</v>
      </c>
      <c r="BE11" s="86">
        <f>IFERROR('8'!BE13/'8'!BE26,0)</f>
        <v>0</v>
      </c>
      <c r="BF11" s="86">
        <f>IFERROR('8'!BF13/'8'!BF26,0)</f>
        <v>1.1328396606435982</v>
      </c>
      <c r="BG11" s="86">
        <f>IFERROR('8'!BG13/'8'!BG26,0)</f>
        <v>1.0991038916976024</v>
      </c>
      <c r="BH11" s="86">
        <f>IFERROR('8'!BH13/'8'!BH26,0)</f>
        <v>0</v>
      </c>
      <c r="BI11" s="86">
        <f>IFERROR('8'!BI13/'8'!BI26,0)</f>
        <v>0</v>
      </c>
      <c r="BJ11" s="86">
        <f>IFERROR('8'!BJ13/'8'!BJ26,0)</f>
        <v>0.37449366375935894</v>
      </c>
      <c r="BK11" s="86">
        <f>IFERROR('8'!BK13/'8'!BK26,0)</f>
        <v>0.36554761068681296</v>
      </c>
      <c r="BL11" s="86">
        <f>IFERROR('8'!BL13/'8'!BL26,0)</f>
        <v>0.39110087631141083</v>
      </c>
      <c r="BM11" s="86">
        <f>IFERROR('8'!BM13/'8'!BM26,0)</f>
        <v>0.16664990891359066</v>
      </c>
      <c r="BN11" s="86">
        <f>IFERROR('8'!BN13/'8'!BN26,0)</f>
        <v>0.76996681926450239</v>
      </c>
      <c r="BO11" s="86">
        <f>IFERROR('8'!BO13/'8'!BO26,0)</f>
        <v>0.7662042216932069</v>
      </c>
      <c r="BP11" s="86">
        <f>IFERROR('8'!BP13/'8'!BP26,0)</f>
        <v>0.22409519332239686</v>
      </c>
      <c r="BQ11" s="86">
        <f>IFERROR('8'!BQ13/'8'!BQ26,0)</f>
        <v>0.21543783353270893</v>
      </c>
      <c r="BR11" s="86">
        <f>IFERROR('8'!BR13/'8'!BR26,0)</f>
        <v>2.0164928240825586</v>
      </c>
      <c r="BS11" s="86">
        <f>IFERROR('8'!BS13/'8'!BS26,0)</f>
        <v>17.695937591017458</v>
      </c>
      <c r="BT11" s="86">
        <f>IFERROR('8'!BT13/'8'!BT26,0)</f>
        <v>1.205204600750315</v>
      </c>
      <c r="BU11" s="86">
        <f>IFERROR('8'!BU13/'8'!BU26,0)</f>
        <v>3.2155488325183312</v>
      </c>
      <c r="BV11" s="86">
        <f>IFERROR('8'!BV13/'8'!BV26,0)</f>
        <v>7.6462153482985101E-2</v>
      </c>
      <c r="BW11" s="86">
        <f>IFERROR('8'!BW13/'8'!BW26,0)</f>
        <v>7.626307427725311E-2</v>
      </c>
      <c r="BX11" s="86">
        <f>IFERROR('8'!BX13/'8'!BX26,0)</f>
        <v>1.0148622828786211</v>
      </c>
      <c r="BY11" s="86">
        <f>IFERROR('8'!BY13/'8'!BY26,0)</f>
        <v>0.45236352440606681</v>
      </c>
      <c r="BZ11" s="86">
        <f>IFERROR('8'!BZ13/'8'!BZ26,0)</f>
        <v>0</v>
      </c>
      <c r="CA11" s="86">
        <f>IFERROR('8'!CA13/'8'!CA26,0)</f>
        <v>0</v>
      </c>
      <c r="CB11" s="86">
        <f>IFERROR('8'!CB13/'8'!CB26,0)</f>
        <v>3.4084769850805836</v>
      </c>
      <c r="CC11" s="86">
        <f>IFERROR('8'!CC13/'8'!CC26,0)</f>
        <v>5.4360182640465098</v>
      </c>
    </row>
    <row r="12" spans="1:81" s="31" customFormat="1" ht="21.75" customHeight="1" x14ac:dyDescent="0.2">
      <c r="A12" s="96" t="s">
        <v>77</v>
      </c>
      <c r="B12" s="86">
        <f>IFERROR('8'!B14/'8'!B10,0)</f>
        <v>0.68585215845150949</v>
      </c>
      <c r="C12" s="86">
        <f>IFERROR('8'!C14/'8'!C10,0)</f>
        <v>0.71119705380661247</v>
      </c>
      <c r="D12" s="86">
        <f>IFERROR('8'!D14/'8'!D10,0)</f>
        <v>6.4615705904234835E-2</v>
      </c>
      <c r="E12" s="86">
        <f>IFERROR('8'!E14/'8'!E10,0)</f>
        <v>0.32872225706093816</v>
      </c>
      <c r="F12" s="86">
        <f>IFERROR('8'!F14/'8'!F10,0)</f>
        <v>0.28889038237515524</v>
      </c>
      <c r="G12" s="86">
        <f>IFERROR('8'!G14/'8'!G10,0)</f>
        <v>0.29553764999339549</v>
      </c>
      <c r="H12" s="86">
        <f>IFERROR('8'!H14/'8'!H10,0)</f>
        <v>0.69456479985027442</v>
      </c>
      <c r="I12" s="86">
        <f>IFERROR('8'!I14/'8'!I10,0)</f>
        <v>0.76844285315728666</v>
      </c>
      <c r="J12" s="86">
        <f>IFERROR('8'!J14/'8'!J10,0)</f>
        <v>0.12176491273935657</v>
      </c>
      <c r="K12" s="86">
        <f>IFERROR('8'!K14/'8'!K10,0)</f>
        <v>0.19154740448397681</v>
      </c>
      <c r="L12" s="86">
        <f>IFERROR('8'!L14/'8'!L10,0)</f>
        <v>0.12845237120618003</v>
      </c>
      <c r="M12" s="86">
        <f>IFERROR('8'!M14/'8'!M10,0)</f>
        <v>0.12845237120618003</v>
      </c>
      <c r="N12" s="86">
        <f>IFERROR('8'!N14/'8'!N10,0)</f>
        <v>0.27503771214194267</v>
      </c>
      <c r="O12" s="86">
        <f>IFERROR('8'!O14/'8'!O10,0)</f>
        <v>0.24864860644765313</v>
      </c>
      <c r="P12" s="86">
        <f>IFERROR('8'!P14/'8'!P10,0)</f>
        <v>0</v>
      </c>
      <c r="Q12" s="86">
        <f>IFERROR('8'!Q14/'8'!Q10,0)</f>
        <v>0</v>
      </c>
      <c r="R12" s="86">
        <f>IFERROR('8'!R14/'8'!R10,0)</f>
        <v>9.2541543670989962E-2</v>
      </c>
      <c r="S12" s="86">
        <f>IFERROR('8'!S14/'8'!S10,0)</f>
        <v>7.6476445418247926E-2</v>
      </c>
      <c r="T12" s="86">
        <f>IFERROR('8'!T14/'8'!T10,0)</f>
        <v>0.20533076247011886</v>
      </c>
      <c r="U12" s="86">
        <f>IFERROR('8'!U14/'8'!U10,0)</f>
        <v>0.22232051572244318</v>
      </c>
      <c r="V12" s="86">
        <f>IFERROR('8'!V14/'8'!V10,0)</f>
        <v>0</v>
      </c>
      <c r="W12" s="86">
        <f>IFERROR('8'!W14/'8'!W10,0)</f>
        <v>0</v>
      </c>
      <c r="X12" s="86">
        <f>IFERROR('8'!X14/'8'!X10,0)</f>
        <v>0.17716561353450308</v>
      </c>
      <c r="Y12" s="86">
        <f>IFERROR('8'!Y14/'8'!Y10,0)</f>
        <v>7.8884606169294033E-2</v>
      </c>
      <c r="Z12" s="86">
        <f>IFERROR('8'!Z14/'8'!Z10,0)</f>
        <v>0.20211739328246814</v>
      </c>
      <c r="AA12" s="86">
        <f>IFERROR('8'!AA14/'8'!AA10,0)</f>
        <v>0.29997112972736767</v>
      </c>
      <c r="AB12" s="86">
        <f>IFERROR('8'!AB14/'8'!AB10,0)</f>
        <v>0.46902519767818296</v>
      </c>
      <c r="AC12" s="86">
        <f>IFERROR('8'!AC14/'8'!AC10,0)</f>
        <v>0.39434286374500016</v>
      </c>
      <c r="AD12" s="86">
        <f>IFERROR('8'!AD14/'8'!AD10,0)</f>
        <v>0.45167723254728215</v>
      </c>
      <c r="AE12" s="86">
        <f>IFERROR('8'!AE14/'8'!AE10,0)</f>
        <v>0.40646133122324779</v>
      </c>
      <c r="AF12" s="86">
        <f>IFERROR('8'!AF14/'8'!AF10,0)</f>
        <v>0.32458946009884143</v>
      </c>
      <c r="AG12" s="86">
        <f>IFERROR('8'!AG14/'8'!AG10,0)</f>
        <v>0.34093236776500585</v>
      </c>
      <c r="AH12" s="86">
        <f>IFERROR('8'!AH14/'8'!AH10,0)</f>
        <v>0.46984170278387066</v>
      </c>
      <c r="AI12" s="86">
        <f>IFERROR('8'!AI14/'8'!AI10,0)</f>
        <v>0.20660701007070584</v>
      </c>
      <c r="AJ12" s="86">
        <f>IFERROR('8'!AJ14/'8'!AJ10,0)</f>
        <v>0.54162045638113554</v>
      </c>
      <c r="AK12" s="86">
        <f>IFERROR('8'!AK14/'8'!AK10,0)</f>
        <v>0.58803954277269699</v>
      </c>
      <c r="AL12" s="86">
        <f>IFERROR('8'!AL14/'8'!AL10,0)</f>
        <v>0.69610265361861368</v>
      </c>
      <c r="AM12" s="86">
        <f>IFERROR('8'!AM14/'8'!AM10,0)</f>
        <v>0.68223529662711602</v>
      </c>
      <c r="AN12" s="86">
        <f>IFERROR('8'!AN14/'8'!AN10,0)</f>
        <v>0.22981829982640592</v>
      </c>
      <c r="AO12" s="86">
        <f>IFERROR('8'!AO14/'8'!AO10,0)</f>
        <v>0.34882449649280534</v>
      </c>
      <c r="AP12" s="86">
        <f>IFERROR('8'!AP14/'8'!AP10,0)</f>
        <v>0.37928105258167172</v>
      </c>
      <c r="AQ12" s="86">
        <f>IFERROR('8'!AQ14/'8'!AQ10,0)</f>
        <v>0.37132139831303973</v>
      </c>
      <c r="AR12" s="86">
        <f>IFERROR('8'!AR14/'8'!AR10,0)</f>
        <v>0.25328542573091017</v>
      </c>
      <c r="AS12" s="86">
        <f>IFERROR('8'!AS14/'8'!AS10,0)</f>
        <v>0.17467491362645279</v>
      </c>
      <c r="AT12" s="86">
        <f>IFERROR('8'!AT14/'8'!AT10,0)</f>
        <v>0.43686316793410995</v>
      </c>
      <c r="AU12" s="86">
        <f>IFERROR('8'!AU14/'8'!AU10,0)</f>
        <v>0.37886657309834004</v>
      </c>
      <c r="AV12" s="86">
        <f>IFERROR('8'!AV14/'8'!AV10,0)</f>
        <v>0</v>
      </c>
      <c r="AW12" s="86">
        <f>IFERROR('8'!AW14/'8'!AW10,0)</f>
        <v>0</v>
      </c>
      <c r="AX12" s="86">
        <f>IFERROR('8'!AX14/'8'!AX10,0)</f>
        <v>0</v>
      </c>
      <c r="AY12" s="86">
        <f>IFERROR('8'!AY14/'8'!AY10,0)</f>
        <v>0</v>
      </c>
      <c r="AZ12" s="86">
        <f>IFERROR('8'!AZ14/'8'!AZ10,0)</f>
        <v>0.99709755832093749</v>
      </c>
      <c r="BA12" s="86">
        <f>IFERROR('8'!BA14/'8'!BA10,0)</f>
        <v>0.98335525210449171</v>
      </c>
      <c r="BB12" s="86">
        <f>IFERROR('8'!BB14/'8'!BB10,0)</f>
        <v>0.36090385710934603</v>
      </c>
      <c r="BC12" s="86">
        <f>IFERROR('8'!BC14/'8'!BC10,0)</f>
        <v>0.21321150849120901</v>
      </c>
      <c r="BD12" s="86">
        <f>IFERROR('8'!BD14/'8'!BD10,0)</f>
        <v>0</v>
      </c>
      <c r="BE12" s="86">
        <f>IFERROR('8'!BE14/'8'!BE10,0)</f>
        <v>0</v>
      </c>
      <c r="BF12" s="86">
        <f>IFERROR('8'!BF14/'8'!BF10,0)</f>
        <v>0.59783570896786786</v>
      </c>
      <c r="BG12" s="86">
        <f>IFERROR('8'!BG14/'8'!BG10,0)</f>
        <v>0.62447395142302342</v>
      </c>
      <c r="BH12" s="86">
        <f>IFERROR('8'!BH14/'8'!BH10,0)</f>
        <v>0.13329110170501496</v>
      </c>
      <c r="BI12" s="86">
        <f>IFERROR('8'!BI14/'8'!BI10,0)</f>
        <v>0.21068474660170394</v>
      </c>
      <c r="BJ12" s="86">
        <f>IFERROR('8'!BJ14/'8'!BJ10,0)</f>
        <v>0.35803310265784621</v>
      </c>
      <c r="BK12" s="86">
        <f>IFERROR('8'!BK14/'8'!BK10,0)</f>
        <v>0.47160271015523425</v>
      </c>
      <c r="BL12" s="86">
        <f>IFERROR('8'!BL14/'8'!BL10,0)</f>
        <v>0.44576167197549321</v>
      </c>
      <c r="BM12" s="86">
        <f>IFERROR('8'!BM14/'8'!BM10,0)</f>
        <v>0.39684434537135727</v>
      </c>
      <c r="BN12" s="86">
        <f>IFERROR('8'!BN14/'8'!BN10,0)</f>
        <v>0.49509622400330583</v>
      </c>
      <c r="BO12" s="86">
        <f>IFERROR('8'!BO14/'8'!BO10,0)</f>
        <v>0.49570666743225589</v>
      </c>
      <c r="BP12" s="86">
        <f>IFERROR('8'!BP14/'8'!BP10,0)</f>
        <v>0.19693379570166419</v>
      </c>
      <c r="BQ12" s="86">
        <f>IFERROR('8'!BQ14/'8'!BQ10,0)</f>
        <v>0.29684451239838394</v>
      </c>
      <c r="BR12" s="86">
        <f>IFERROR('8'!BR14/'8'!BR10,0)</f>
        <v>0.73416298953225334</v>
      </c>
      <c r="BS12" s="86">
        <f>IFERROR('8'!BS14/'8'!BS10,0)</f>
        <v>0.96527993247081023</v>
      </c>
      <c r="BT12" s="86">
        <f>IFERROR('8'!BT14/'8'!BT10,0)</f>
        <v>0.60995303317980731</v>
      </c>
      <c r="BU12" s="86">
        <f>IFERROR('8'!BU14/'8'!BU10,0)</f>
        <v>0.79625559840957461</v>
      </c>
      <c r="BV12" s="86">
        <f>IFERROR('8'!BV14/'8'!BV10,0)</f>
        <v>0.2982621825416612</v>
      </c>
      <c r="BW12" s="86">
        <f>IFERROR('8'!BW14/'8'!BW10,0)</f>
        <v>0.34777086892603098</v>
      </c>
      <c r="BX12" s="86">
        <f>IFERROR('8'!BX14/'8'!BX10,0)</f>
        <v>0.53934065473120352</v>
      </c>
      <c r="BY12" s="86">
        <f>IFERROR('8'!BY14/'8'!BY10,0)</f>
        <v>0.35798951515227484</v>
      </c>
      <c r="BZ12" s="86">
        <f>IFERROR('8'!BZ14/'8'!BZ10,0)</f>
        <v>1.6262763603401849E-2</v>
      </c>
      <c r="CA12" s="86">
        <f>IFERROR('8'!CA14/'8'!CA10,0)</f>
        <v>4.0988191824247247E-2</v>
      </c>
      <c r="CB12" s="86">
        <f>IFERROR('8'!CB14/'8'!CB10,0)</f>
        <v>0.85569916424414849</v>
      </c>
      <c r="CC12" s="86">
        <f>IFERROR('8'!CC14/'8'!CC10,0)</f>
        <v>0.91338881607637901</v>
      </c>
    </row>
    <row r="13" spans="1:81" s="31" customFormat="1" ht="21.75" customHeight="1" x14ac:dyDescent="0.2">
      <c r="A13" s="99" t="s">
        <v>78</v>
      </c>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row>
    <row r="14" spans="1:81" s="31" customFormat="1" ht="21.75" customHeight="1" x14ac:dyDescent="0.2">
      <c r="A14" s="96" t="s">
        <v>79</v>
      </c>
      <c r="B14" s="86">
        <f>IFERROR('8'!B10/'8'!B14,0)</f>
        <v>1.4580401733483808</v>
      </c>
      <c r="C14" s="86">
        <f>IFERROR('8'!C10/'8'!C14,0)</f>
        <v>1.406080065500269</v>
      </c>
      <c r="D14" s="86">
        <f>IFERROR('8'!D10/'8'!D14,0)</f>
        <v>15.476113523886475</v>
      </c>
      <c r="E14" s="86">
        <f>IFERROR('8'!E10/'8'!E14,0)</f>
        <v>3.042081813811047</v>
      </c>
      <c r="F14" s="86">
        <f>IFERROR('8'!F10/'8'!F14,0)</f>
        <v>3.46152056630737</v>
      </c>
      <c r="G14" s="86">
        <f>IFERROR('8'!G10/'8'!G14,0)</f>
        <v>3.3836636381941436</v>
      </c>
      <c r="H14" s="86">
        <f>IFERROR('8'!H10/'8'!H14,0)</f>
        <v>1.4397504742762195</v>
      </c>
      <c r="I14" s="86">
        <f>IFERROR('8'!I10/'8'!I14,0)</f>
        <v>1.3013329434860625</v>
      </c>
      <c r="J14" s="86">
        <f>IFERROR('8'!J10/'8'!J14,0)</f>
        <v>8.2125464347890293</v>
      </c>
      <c r="K14" s="86">
        <f>IFERROR('8'!K10/'8'!K14,0)</f>
        <v>5.2206397820631985</v>
      </c>
      <c r="L14" s="86">
        <f>IFERROR('8'!L10/'8'!L14,0)</f>
        <v>7.7849866889174919</v>
      </c>
      <c r="M14" s="86">
        <f>IFERROR('8'!M10/'8'!M14,0)</f>
        <v>7.7849866889174919</v>
      </c>
      <c r="N14" s="86">
        <f>IFERROR('8'!N10/'8'!N14,0)</f>
        <v>3.6358650317884975</v>
      </c>
      <c r="O14" s="86">
        <f>IFERROR('8'!O10/'8'!O14,0)</f>
        <v>4.0217398130100737</v>
      </c>
      <c r="P14" s="86">
        <f>IFERROR('8'!P10/'8'!P14,0)</f>
        <v>0</v>
      </c>
      <c r="Q14" s="86">
        <f>IFERROR('8'!Q10/'8'!Q14,0)</f>
        <v>0</v>
      </c>
      <c r="R14" s="86">
        <f>IFERROR('8'!R10/'8'!R14,0)</f>
        <v>10.805957630826525</v>
      </c>
      <c r="S14" s="86">
        <f>IFERROR('8'!S10/'8'!S14,0)</f>
        <v>13.075921540691686</v>
      </c>
      <c r="T14" s="86">
        <f>IFERROR('8'!T10/'8'!T14,0)</f>
        <v>4.8701908470511173</v>
      </c>
      <c r="U14" s="86">
        <f>IFERROR('8'!U10/'8'!U14,0)</f>
        <v>4.4980104366456821</v>
      </c>
      <c r="V14" s="86">
        <f>IFERROR('8'!V10/'8'!V14,0)</f>
        <v>0</v>
      </c>
      <c r="W14" s="86">
        <f>IFERROR('8'!W10/'8'!W14,0)</f>
        <v>0</v>
      </c>
      <c r="X14" s="86">
        <f>IFERROR('8'!X10/'8'!X14,0)</f>
        <v>5.6444361862876375</v>
      </c>
      <c r="Y14" s="86">
        <f>IFERROR('8'!Y10/'8'!Y14,0)</f>
        <v>12.676744533070279</v>
      </c>
      <c r="Z14" s="86">
        <f>IFERROR('8'!Z10/'8'!Z14,0)</f>
        <v>4.9476197162430999</v>
      </c>
      <c r="AA14" s="86">
        <f>IFERROR('8'!AA10/'8'!AA14,0)</f>
        <v>3.333654145013428</v>
      </c>
      <c r="AB14" s="86">
        <f>IFERROR('8'!AB10/'8'!AB14,0)</f>
        <v>2.1320816129928701</v>
      </c>
      <c r="AC14" s="86">
        <f>IFERROR('8'!AC10/'8'!AC14,0)</f>
        <v>2.53586432502718</v>
      </c>
      <c r="AD14" s="86">
        <f>IFERROR('8'!AD10/'8'!AD14,0)</f>
        <v>2.2139703486057796</v>
      </c>
      <c r="AE14" s="86">
        <f>IFERROR('8'!AE10/'8'!AE14,0)</f>
        <v>2.4602586351584641</v>
      </c>
      <c r="AF14" s="86">
        <f>IFERROR('8'!AF10/'8'!AF14,0)</f>
        <v>3.080814761192455</v>
      </c>
      <c r="AG14" s="86">
        <f>IFERROR('8'!AG10/'8'!AG14,0)</f>
        <v>2.9331330625940129</v>
      </c>
      <c r="AH14" s="86">
        <f>IFERROR('8'!AH10/'8'!AH14,0)</f>
        <v>2.1283764171525759</v>
      </c>
      <c r="AI14" s="86">
        <f>IFERROR('8'!AI10/'8'!AI14,0)</f>
        <v>4.840106827245485</v>
      </c>
      <c r="AJ14" s="86">
        <f>IFERROR('8'!AJ10/'8'!AJ14,0)</f>
        <v>1.8463113573692371</v>
      </c>
      <c r="AK14" s="86">
        <f>IFERROR('8'!AK10/'8'!AK14,0)</f>
        <v>1.7005659097088031</v>
      </c>
      <c r="AL14" s="86">
        <f>IFERROR('8'!AL10/'8'!AL14,0)</f>
        <v>1.4365697283318906</v>
      </c>
      <c r="AM14" s="86">
        <f>IFERROR('8'!AM10/'8'!AM14,0)</f>
        <v>1.4657699549464416</v>
      </c>
      <c r="AN14" s="86">
        <f>IFERROR('8'!AN10/'8'!AN14,0)</f>
        <v>4.3512635884755637</v>
      </c>
      <c r="AO14" s="86">
        <f>IFERROR('8'!AO10/'8'!AO14,0)</f>
        <v>2.8667711415176527</v>
      </c>
      <c r="AP14" s="86">
        <f>IFERROR('8'!AP10/'8'!AP14,0)</f>
        <v>2.6365672453006783</v>
      </c>
      <c r="AQ14" s="86">
        <f>IFERROR('8'!AQ10/'8'!AQ14,0)</f>
        <v>2.693084763073518</v>
      </c>
      <c r="AR14" s="86">
        <f>IFERROR('8'!AR10/'8'!AR14,0)</f>
        <v>3.9481150449706397</v>
      </c>
      <c r="AS14" s="86">
        <f>IFERROR('8'!AS10/'8'!AS14,0)</f>
        <v>5.7249205351750057</v>
      </c>
      <c r="AT14" s="86">
        <f>IFERROR('8'!AT10/'8'!AT14,0)</f>
        <v>2.289046258417522</v>
      </c>
      <c r="AU14" s="86">
        <f>IFERROR('8'!AU10/'8'!AU14,0)</f>
        <v>2.6394516460559747</v>
      </c>
      <c r="AV14" s="86">
        <f>IFERROR('8'!AV10/'8'!AV14,0)</f>
        <v>0</v>
      </c>
      <c r="AW14" s="86">
        <f>IFERROR('8'!AW10/'8'!AW14,0)</f>
        <v>0</v>
      </c>
      <c r="AX14" s="86">
        <f>IFERROR('8'!AX10/'8'!AX14,0)</f>
        <v>0</v>
      </c>
      <c r="AY14" s="86">
        <f>IFERROR('8'!AY10/'8'!AY14,0)</f>
        <v>0</v>
      </c>
      <c r="AZ14" s="86">
        <f>IFERROR('8'!AZ10/'8'!AZ14,0)</f>
        <v>1.0029108903685915</v>
      </c>
      <c r="BA14" s="86">
        <f>IFERROR('8'!BA10/'8'!BA14,0)</f>
        <v>1.016926484970601</v>
      </c>
      <c r="BB14" s="86">
        <f>IFERROR('8'!BB10/'8'!BB14,0)</f>
        <v>2.770821038072258</v>
      </c>
      <c r="BC14" s="86">
        <f>IFERROR('8'!BC10/'8'!BC14,0)</f>
        <v>4.6901783448581122</v>
      </c>
      <c r="BD14" s="86">
        <f>IFERROR('8'!BD10/'8'!BD14,0)</f>
        <v>0</v>
      </c>
      <c r="BE14" s="86">
        <f>IFERROR('8'!BE10/'8'!BE14,0)</f>
        <v>0</v>
      </c>
      <c r="BF14" s="86">
        <f>IFERROR('8'!BF10/'8'!BF14,0)</f>
        <v>1.6727003506137963</v>
      </c>
      <c r="BG14" s="86">
        <f>IFERROR('8'!BG10/'8'!BG14,0)</f>
        <v>1.601347818786107</v>
      </c>
      <c r="BH14" s="86">
        <f>IFERROR('8'!BH10/'8'!BH14,0)</f>
        <v>7.5023762817497666</v>
      </c>
      <c r="BI14" s="86">
        <f>IFERROR('8'!BI10/'8'!BI14,0)</f>
        <v>4.7464280928247913</v>
      </c>
      <c r="BJ14" s="86">
        <f>IFERROR('8'!BJ10/'8'!BJ14,0)</f>
        <v>2.7930378296770186</v>
      </c>
      <c r="BK14" s="86">
        <f>IFERROR('8'!BK10/'8'!BK14,0)</f>
        <v>2.1204288662184254</v>
      </c>
      <c r="BL14" s="86">
        <f>IFERROR('8'!BL10/'8'!BL14,0)</f>
        <v>2.2433512409630798</v>
      </c>
      <c r="BM14" s="86">
        <f>IFERROR('8'!BM10/'8'!BM14,0)</f>
        <v>2.5198796748992969</v>
      </c>
      <c r="BN14" s="86">
        <f>IFERROR('8'!BN10/'8'!BN14,0)</f>
        <v>2.0198093855656691</v>
      </c>
      <c r="BO14" s="86">
        <f>IFERROR('8'!BO10/'8'!BO14,0)</f>
        <v>2.0173220690775997</v>
      </c>
      <c r="BP14" s="86">
        <f>IFERROR('8'!BP10/'8'!BP14,0)</f>
        <v>5.0778486061117922</v>
      </c>
      <c r="BQ14" s="86">
        <f>IFERROR('8'!BQ10/'8'!BQ14,0)</f>
        <v>3.3687670084260724</v>
      </c>
      <c r="BR14" s="86">
        <f>IFERROR('8'!BR10/'8'!BR14,0)</f>
        <v>1.3620953579219726</v>
      </c>
      <c r="BS14" s="86">
        <f>IFERROR('8'!BS10/'8'!BS14,0)</f>
        <v>1.0359689105318055</v>
      </c>
      <c r="BT14" s="86">
        <f>IFERROR('8'!BT10/'8'!BT14,0)</f>
        <v>1.6394704929768114</v>
      </c>
      <c r="BU14" s="86">
        <f>IFERROR('8'!BU10/'8'!BU14,0)</f>
        <v>1.2558781401316115</v>
      </c>
      <c r="BV14" s="86">
        <f>IFERROR('8'!BV10/'8'!BV14,0)</f>
        <v>3.3527549201123419</v>
      </c>
      <c r="BW14" s="86">
        <f>IFERROR('8'!BW10/'8'!BW14,0)</f>
        <v>2.8754564840009493</v>
      </c>
      <c r="BX14" s="86">
        <f>IFERROR('8'!BX10/'8'!BX14,0)</f>
        <v>1.8541157452674875</v>
      </c>
      <c r="BY14" s="86">
        <f>IFERROR('8'!BY10/'8'!BY14,0)</f>
        <v>2.7933778998377616</v>
      </c>
      <c r="BZ14" s="86">
        <f>IFERROR('8'!BZ10/'8'!BZ14,0)</f>
        <v>61.490163934426228</v>
      </c>
      <c r="CA14" s="86">
        <f>IFERROR('8'!CA10/'8'!CA14,0)</f>
        <v>24.397270420902863</v>
      </c>
      <c r="CB14" s="86">
        <f>IFERROR('8'!CB10/'8'!CB14,0)</f>
        <v>1.1686350084066222</v>
      </c>
      <c r="CC14" s="86">
        <f>IFERROR('8'!CC10/'8'!CC14,0)</f>
        <v>1.0948240030961562</v>
      </c>
    </row>
    <row r="15" spans="1:81" s="31" customFormat="1" ht="21.75" customHeight="1" x14ac:dyDescent="0.2">
      <c r="A15" s="96" t="s">
        <v>80</v>
      </c>
      <c r="B15" s="86">
        <f>IFERROR('8'!B10/'8'!B12,0)</f>
        <v>3.2392869160434206</v>
      </c>
      <c r="C15" s="86">
        <f>IFERROR('8'!C10/'8'!C12,0)</f>
        <v>2.7535150401688697</v>
      </c>
      <c r="D15" s="86">
        <f>IFERROR('8'!D10/'8'!D12,0)</f>
        <v>15.476113523886475</v>
      </c>
      <c r="E15" s="86">
        <f>IFERROR('8'!E10/'8'!E12,0)</f>
        <v>3.042081813811047</v>
      </c>
      <c r="F15" s="86">
        <f>IFERROR('8'!F10/'8'!F12,0)</f>
        <v>12.241097362367993</v>
      </c>
      <c r="G15" s="86">
        <f>IFERROR('8'!G10/'8'!G12,0)</f>
        <v>14.352142293308487</v>
      </c>
      <c r="H15" s="86">
        <f>IFERROR('8'!H10/'8'!H12,0)</f>
        <v>7.3485431351380575</v>
      </c>
      <c r="I15" s="86">
        <f>IFERROR('8'!I10/'8'!I12,0)</f>
        <v>9.564331607285629</v>
      </c>
      <c r="J15" s="86">
        <f>IFERROR('8'!J10/'8'!J12,0)</f>
        <v>8.2125464347890293</v>
      </c>
      <c r="K15" s="86">
        <f>IFERROR('8'!K10/'8'!K12,0)</f>
        <v>5.2206397820631985</v>
      </c>
      <c r="L15" s="86">
        <f>IFERROR('8'!L10/'8'!L12,0)</f>
        <v>7.7849866889174919</v>
      </c>
      <c r="M15" s="86">
        <f>IFERROR('8'!M10/'8'!M12,0)</f>
        <v>7.7849866889174919</v>
      </c>
      <c r="N15" s="86">
        <f>IFERROR('8'!N10/'8'!N12,0)</f>
        <v>62.476123282584481</v>
      </c>
      <c r="O15" s="86">
        <f>IFERROR('8'!O10/'8'!O12,0)</f>
        <v>58.563394647065032</v>
      </c>
      <c r="P15" s="86">
        <f>IFERROR('8'!P10/'8'!P12,0)</f>
        <v>0</v>
      </c>
      <c r="Q15" s="86">
        <f>IFERROR('8'!Q10/'8'!Q12,0)</f>
        <v>0</v>
      </c>
      <c r="R15" s="86">
        <f>IFERROR('8'!R10/'8'!R12,0)</f>
        <v>10.805957630826525</v>
      </c>
      <c r="S15" s="86">
        <f>IFERROR('8'!S10/'8'!S12,0)</f>
        <v>13.075921540691686</v>
      </c>
      <c r="T15" s="86">
        <f>IFERROR('8'!T10/'8'!T12,0)</f>
        <v>22.330690942445564</v>
      </c>
      <c r="U15" s="86">
        <f>IFERROR('8'!U10/'8'!U12,0)</f>
        <v>13.635074416521066</v>
      </c>
      <c r="V15" s="86">
        <f>IFERROR('8'!V10/'8'!V12,0)</f>
        <v>0</v>
      </c>
      <c r="W15" s="86">
        <f>IFERROR('8'!W10/'8'!W12,0)</f>
        <v>0</v>
      </c>
      <c r="X15" s="86">
        <f>IFERROR('8'!X10/'8'!X12,0)</f>
        <v>41.820666272243209</v>
      </c>
      <c r="Y15" s="86">
        <f>IFERROR('8'!Y10/'8'!Y12,0)</f>
        <v>28.13836102795344</v>
      </c>
      <c r="Z15" s="86">
        <f>IFERROR('8'!Z10/'8'!Z12,0)</f>
        <v>6.5870225276273837</v>
      </c>
      <c r="AA15" s="86">
        <f>IFERROR('8'!AA10/'8'!AA12,0)</f>
        <v>12.961663325533054</v>
      </c>
      <c r="AB15" s="86">
        <f>IFERROR('8'!AB10/'8'!AB12,0)</f>
        <v>2.1320816129928701</v>
      </c>
      <c r="AC15" s="86">
        <f>IFERROR('8'!AC10/'8'!AC12,0)</f>
        <v>3.4630982338605407</v>
      </c>
      <c r="AD15" s="86">
        <f>IFERROR('8'!AD10/'8'!AD12,0)</f>
        <v>4.1652455745418813</v>
      </c>
      <c r="AE15" s="86">
        <f>IFERROR('8'!AE10/'8'!AE12,0)</f>
        <v>4.0509829333860363</v>
      </c>
      <c r="AF15" s="86">
        <f>IFERROR('8'!AF10/'8'!AF12,0)</f>
        <v>4.6684659617555502</v>
      </c>
      <c r="AG15" s="86">
        <f>IFERROR('8'!AG10/'8'!AG12,0)</f>
        <v>3.9062666176492944</v>
      </c>
      <c r="AH15" s="86">
        <f>IFERROR('8'!AH10/'8'!AH12,0)</f>
        <v>2.1454478843496463</v>
      </c>
      <c r="AI15" s="86">
        <f>IFERROR('8'!AI10/'8'!AI12,0)</f>
        <v>5.051927371761038</v>
      </c>
      <c r="AJ15" s="86">
        <f>IFERROR('8'!AJ10/'8'!AJ12,0)</f>
        <v>1.8978655513259957</v>
      </c>
      <c r="AK15" s="86">
        <f>IFERROR('8'!AK10/'8'!AK12,0)</f>
        <v>3.4486618609262152</v>
      </c>
      <c r="AL15" s="86">
        <f>IFERROR('8'!AL10/'8'!AL12,0)</f>
        <v>10.669104678451898</v>
      </c>
      <c r="AM15" s="86">
        <f>IFERROR('8'!AM10/'8'!AM12,0)</f>
        <v>7.9982618917297117</v>
      </c>
      <c r="AN15" s="86">
        <f>IFERROR('8'!AN10/'8'!AN12,0)</f>
        <v>7.8723380388949273</v>
      </c>
      <c r="AO15" s="86">
        <f>IFERROR('8'!AO10/'8'!AO12,0)</f>
        <v>5.8781959085202864</v>
      </c>
      <c r="AP15" s="86">
        <f>IFERROR('8'!AP10/'8'!AP12,0)</f>
        <v>2.6365672453006783</v>
      </c>
      <c r="AQ15" s="86">
        <f>IFERROR('8'!AQ10/'8'!AQ12,0)</f>
        <v>2.934147707244974</v>
      </c>
      <c r="AR15" s="86">
        <f>IFERROR('8'!AR10/'8'!AR12,0)</f>
        <v>7.4142913922906324</v>
      </c>
      <c r="AS15" s="86">
        <f>IFERROR('8'!AS10/'8'!AS12,0)</f>
        <v>7.3693647383710763</v>
      </c>
      <c r="AT15" s="86">
        <f>IFERROR('8'!AT10/'8'!AT12,0)</f>
        <v>3.2727789167509123</v>
      </c>
      <c r="AU15" s="86">
        <f>IFERROR('8'!AU10/'8'!AU12,0)</f>
        <v>2.9623488153625956</v>
      </c>
      <c r="AV15" s="86">
        <f>IFERROR('8'!AV10/'8'!AV12,0)</f>
        <v>0</v>
      </c>
      <c r="AW15" s="86">
        <f>IFERROR('8'!AW10/'8'!AW12,0)</f>
        <v>0</v>
      </c>
      <c r="AX15" s="86">
        <f>IFERROR('8'!AX10/'8'!AX12,0)</f>
        <v>0</v>
      </c>
      <c r="AY15" s="86">
        <f>IFERROR('8'!AY10/'8'!AY12,0)</f>
        <v>0</v>
      </c>
      <c r="AZ15" s="86">
        <f>IFERROR('8'!AZ10/'8'!AZ12,0)</f>
        <v>10.019872765828536</v>
      </c>
      <c r="BA15" s="86">
        <f>IFERROR('8'!BA10/'8'!BA12,0)</f>
        <v>9.2441623821765209</v>
      </c>
      <c r="BB15" s="86">
        <f>IFERROR('8'!BB10/'8'!BB12,0)</f>
        <v>2.8296083599541886</v>
      </c>
      <c r="BC15" s="86">
        <f>IFERROR('8'!BC10/'8'!BC12,0)</f>
        <v>4.856111009135712</v>
      </c>
      <c r="BD15" s="86">
        <f>IFERROR('8'!BD10/'8'!BD12,0)</f>
        <v>0</v>
      </c>
      <c r="BE15" s="86">
        <f>IFERROR('8'!BE10/'8'!BE12,0)</f>
        <v>0</v>
      </c>
      <c r="BF15" s="86">
        <f>IFERROR('8'!BF10/'8'!BF12,0)</f>
        <v>7.0299733462487515</v>
      </c>
      <c r="BG15" s="86">
        <f>IFERROR('8'!BG10/'8'!BG12,0)</f>
        <v>4.7229558941015304</v>
      </c>
      <c r="BH15" s="86">
        <f>IFERROR('8'!BH10/'8'!BH12,0)</f>
        <v>7.5023762817497666</v>
      </c>
      <c r="BI15" s="86">
        <f>IFERROR('8'!BI10/'8'!BI12,0)</f>
        <v>4.7464280928247913</v>
      </c>
      <c r="BJ15" s="86">
        <f>IFERROR('8'!BJ10/'8'!BJ12,0)</f>
        <v>8.5019144465600682</v>
      </c>
      <c r="BK15" s="86">
        <f>IFERROR('8'!BK10/'8'!BK12,0)</f>
        <v>3.5913303987963734</v>
      </c>
      <c r="BL15" s="86">
        <f>IFERROR('8'!BL10/'8'!BL12,0)</f>
        <v>4.3668393777600549</v>
      </c>
      <c r="BM15" s="86">
        <f>IFERROR('8'!BM10/'8'!BM12,0)</f>
        <v>3.3746331003547367</v>
      </c>
      <c r="BN15" s="86">
        <f>IFERROR('8'!BN10/'8'!BN12,0)</f>
        <v>9.404058284618154</v>
      </c>
      <c r="BO15" s="86">
        <f>IFERROR('8'!BO10/'8'!BO12,0)</f>
        <v>9.147876489881547</v>
      </c>
      <c r="BP15" s="86">
        <f>IFERROR('8'!BP10/'8'!BP12,0)</f>
        <v>58.925715619166148</v>
      </c>
      <c r="BQ15" s="86">
        <f>IFERROR('8'!BQ10/'8'!BQ12,0)</f>
        <v>6.8795560176125248</v>
      </c>
      <c r="BR15" s="86">
        <f>IFERROR('8'!BR10/'8'!BR12,0)</f>
        <v>5.0478392420252893</v>
      </c>
      <c r="BS15" s="86">
        <f>IFERROR('8'!BS10/'8'!BS12,0)</f>
        <v>2.8500114419200888</v>
      </c>
      <c r="BT15" s="86">
        <f>IFERROR('8'!BT10/'8'!BT12,0)</f>
        <v>7.1496680054896906</v>
      </c>
      <c r="BU15" s="86">
        <f>IFERROR('8'!BU10/'8'!BU12,0)</f>
        <v>7.086894682061911</v>
      </c>
      <c r="BV15" s="86">
        <f>IFERROR('8'!BV10/'8'!BV12,0)</f>
        <v>4.0882105364520944</v>
      </c>
      <c r="BW15" s="86">
        <f>IFERROR('8'!BW10/'8'!BW12,0)</f>
        <v>3.3553683700803938</v>
      </c>
      <c r="BX15" s="86">
        <f>IFERROR('8'!BX10/'8'!BX12,0)</f>
        <v>13.920817838640367</v>
      </c>
      <c r="BY15" s="86">
        <f>IFERROR('8'!BY10/'8'!BY12,0)</f>
        <v>14.800038999442611</v>
      </c>
      <c r="BZ15" s="86">
        <f>IFERROR('8'!BZ10/'8'!BZ12,0)</f>
        <v>61.490163934426228</v>
      </c>
      <c r="CA15" s="86">
        <f>IFERROR('8'!CA10/'8'!CA12,0)</f>
        <v>24.397270420902863</v>
      </c>
      <c r="CB15" s="86">
        <f>IFERROR('8'!CB10/'8'!CB12,0)</f>
        <v>2.7483620084903051</v>
      </c>
      <c r="CC15" s="86">
        <f>IFERROR('8'!CC10/'8'!CC12,0)</f>
        <v>2.2595354964942822</v>
      </c>
    </row>
    <row r="16" spans="1:81" s="31" customFormat="1" ht="21.75" customHeight="1" x14ac:dyDescent="0.2">
      <c r="A16" s="99" t="s">
        <v>81</v>
      </c>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row>
    <row r="17" spans="1:81" s="31" customFormat="1" ht="21.75" customHeight="1" x14ac:dyDescent="0.2">
      <c r="A17" s="96" t="s">
        <v>82</v>
      </c>
      <c r="B17" s="86">
        <f>IFERROR('8'!B9/'8'!B13,0)</f>
        <v>1.5130629033865426</v>
      </c>
      <c r="C17" s="86">
        <f>IFERROR('8'!C9/'8'!C13,0)</f>
        <v>1.3709062409750283</v>
      </c>
      <c r="D17" s="86">
        <f>IFERROR('8'!D9/'8'!D13,0)</f>
        <v>0</v>
      </c>
      <c r="E17" s="86">
        <f>IFERROR('8'!E9/'8'!E13,0)</f>
        <v>0</v>
      </c>
      <c r="F17" s="86">
        <f>IFERROR('8'!#REF!/'8'!F13,0)</f>
        <v>0</v>
      </c>
      <c r="G17" s="86">
        <f>IFERROR('8'!F9/'8'!G13,0)</f>
        <v>3.2788851142310809</v>
      </c>
      <c r="H17" s="86">
        <f>IFERROR('8'!H9/'8'!H13,0)</f>
        <v>1.6951909348325789</v>
      </c>
      <c r="I17" s="86">
        <f>IFERROR('8'!I9/'8'!I13,0)</f>
        <v>1.4403053303447455</v>
      </c>
      <c r="J17" s="86">
        <f>IFERROR('8'!J9/'8'!J13,0)</f>
        <v>0</v>
      </c>
      <c r="K17" s="86">
        <f>IFERROR('8'!K9/'8'!K13,0)</f>
        <v>0</v>
      </c>
      <c r="L17" s="86">
        <f>IFERROR('8'!L9/'8'!L13,0)</f>
        <v>0</v>
      </c>
      <c r="M17" s="86">
        <f>IFERROR('8'!M9/'8'!M13,0)</f>
        <v>0</v>
      </c>
      <c r="N17" s="86">
        <f>IFERROR('8'!N9/'8'!N13,0)</f>
        <v>3.82794573856857</v>
      </c>
      <c r="O17" s="86">
        <f>IFERROR('8'!O9/'8'!O13,0)</f>
        <v>4.2006742738589216</v>
      </c>
      <c r="P17" s="86">
        <f>IFERROR('8'!P9/'8'!P13,0)</f>
        <v>0</v>
      </c>
      <c r="Q17" s="86">
        <f>IFERROR('8'!Q9/'8'!Q13,0)</f>
        <v>0</v>
      </c>
      <c r="R17" s="86">
        <f>IFERROR('8'!R9/'8'!R13,0)</f>
        <v>0</v>
      </c>
      <c r="S17" s="86">
        <f>IFERROR('8'!S9/'8'!S13,0)</f>
        <v>0</v>
      </c>
      <c r="T17" s="86">
        <f>IFERROR('8'!T9/'8'!T13,0)</f>
        <v>4.9680233551648376</v>
      </c>
      <c r="U17" s="86">
        <f>IFERROR('8'!U9/'8'!U13,0)</f>
        <v>5.1756280364289458</v>
      </c>
      <c r="V17" s="86">
        <f>IFERROR('8'!V9/'8'!V13,0)</f>
        <v>0</v>
      </c>
      <c r="W17" s="86">
        <f>IFERROR('8'!W9/'8'!W13,0)</f>
        <v>0</v>
      </c>
      <c r="X17" s="86">
        <f>IFERROR('8'!X9/'8'!X13,0)</f>
        <v>3.7349871120294824</v>
      </c>
      <c r="Y17" s="86">
        <f>IFERROR('8'!Y9/'8'!Y13,0)</f>
        <v>13.723491940423298</v>
      </c>
      <c r="Z17" s="86">
        <f>IFERROR('8'!Z9/'8'!Z13,0)</f>
        <v>12.736592501171526</v>
      </c>
      <c r="AA17" s="86">
        <f>IFERROR('8'!AA9/'8'!AA13,0)</f>
        <v>2.30262145061053</v>
      </c>
      <c r="AB17" s="86">
        <f>IFERROR('8'!AB9/'8'!AB13,0)</f>
        <v>0</v>
      </c>
      <c r="AC17" s="86">
        <f>IFERROR('8'!AC9/'8'!AC13,0)</f>
        <v>7.9109300390681518</v>
      </c>
      <c r="AD17" s="86">
        <f>IFERROR('8'!AD9/'8'!AD13,0)</f>
        <v>3.4384681094717631</v>
      </c>
      <c r="AE17" s="86">
        <f>IFERROR('8'!AE9/'8'!AE13,0)</f>
        <v>4.6349487999382966</v>
      </c>
      <c r="AF17" s="86">
        <f>IFERROR('8'!AF9/'8'!AF13,0)</f>
        <v>6.4988296122824254</v>
      </c>
      <c r="AG17" s="86">
        <f>IFERROR('8'!AG9/'8'!AG13,0)</f>
        <v>7.9840435697466603</v>
      </c>
      <c r="AH17" s="86">
        <f>IFERROR('8'!AH9/'8'!AH13,0)</f>
        <v>6.6099966965712253</v>
      </c>
      <c r="AI17" s="86">
        <f>IFERROR('8'!AI9/'8'!AI13,0)</f>
        <v>3.9416652571676125</v>
      </c>
      <c r="AJ17" s="86">
        <f>IFERROR('8'!AJ9/'8'!AJ13,0)</f>
        <v>4.7799697693509131</v>
      </c>
      <c r="AK17" s="86">
        <f>IFERROR('8'!AK9/'8'!AK13,0)</f>
        <v>2.2346996259480991</v>
      </c>
      <c r="AL17" s="86">
        <f>IFERROR('8'!AL9/'8'!AL13,0)</f>
        <v>1.3035852383412205</v>
      </c>
      <c r="AM17" s="86">
        <f>IFERROR('8'!AM9/'8'!AM13,0)</f>
        <v>1.3901561875672672</v>
      </c>
      <c r="AN17" s="86">
        <f>IFERROR('8'!AN9/'8'!AN13,0)</f>
        <v>6.3286804498479672</v>
      </c>
      <c r="AO17" s="86">
        <f>IFERROR('8'!AO9/'8'!AO13,0)</f>
        <v>2.243016644838709</v>
      </c>
      <c r="AP17" s="86">
        <f>IFERROR('8'!AP9/'8'!AP13,0)</f>
        <v>0</v>
      </c>
      <c r="AQ17" s="86">
        <f>IFERROR('8'!AQ9/'8'!AQ13,0)</f>
        <v>14.993021748362173</v>
      </c>
      <c r="AR17" s="86">
        <f>IFERROR('8'!AR9/'8'!AR13,0)</f>
        <v>5.7205671544897267</v>
      </c>
      <c r="AS17" s="86">
        <f>IFERROR('8'!AS9/'8'!AS13,0)</f>
        <v>21.503340524740761</v>
      </c>
      <c r="AT17" s="86">
        <f>IFERROR('8'!AT9/'8'!AT13,0)</f>
        <v>3.5748809937012966</v>
      </c>
      <c r="AU17" s="86">
        <f>IFERROR('8'!AU9/'8'!AU13,0)</f>
        <v>8.2679721450708019</v>
      </c>
      <c r="AV17" s="86">
        <f>IFERROR('8'!AV9/'8'!AV13,0)</f>
        <v>0</v>
      </c>
      <c r="AW17" s="86">
        <f>IFERROR('8'!AW9/'8'!AW13,0)</f>
        <v>0</v>
      </c>
      <c r="AX17" s="86">
        <f>IFERROR('8'!AX9/'8'!AX13,0)</f>
        <v>0</v>
      </c>
      <c r="AY17" s="86">
        <f>IFERROR('8'!AY9/'8'!AY13,0)</f>
        <v>0</v>
      </c>
      <c r="AZ17" s="86">
        <f>IFERROR('8'!AZ9/'8'!AZ13,0)</f>
        <v>0.99963610143335602</v>
      </c>
      <c r="BA17" s="86">
        <f>IFERROR('8'!BA9/'8'!BA13,0)</f>
        <v>0.85339794256662826</v>
      </c>
      <c r="BB17" s="86">
        <f>IFERROR('8'!BB9/'8'!BB13,0)</f>
        <v>40.440365919717408</v>
      </c>
      <c r="BC17" s="86">
        <f>IFERROR('8'!BC9/'8'!BC13,0)</f>
        <v>45.754920188827853</v>
      </c>
      <c r="BD17" s="86">
        <f>IFERROR('8'!BD9/'8'!BD13,0)</f>
        <v>0</v>
      </c>
      <c r="BE17" s="86">
        <f>IFERROR('8'!BE9/'8'!BE13,0)</f>
        <v>0</v>
      </c>
      <c r="BF17" s="86">
        <f>IFERROR('8'!BF9/'8'!BF13,0)</f>
        <v>1.5368392111862621</v>
      </c>
      <c r="BG17" s="86">
        <f>IFERROR('8'!BG9/'8'!BG13,0)</f>
        <v>1.5779537818154996</v>
      </c>
      <c r="BH17" s="86">
        <f>IFERROR('8'!BH9/'8'!BH13,0)</f>
        <v>0</v>
      </c>
      <c r="BI17" s="86">
        <f>IFERROR('8'!BI9/'8'!BI13,0)</f>
        <v>0</v>
      </c>
      <c r="BJ17" s="86">
        <f>IFERROR('8'!BJ9/'8'!BJ13,0)</f>
        <v>3.3071931201811218</v>
      </c>
      <c r="BK17" s="86">
        <f>IFERROR('8'!BK9/'8'!BK13,0)</f>
        <v>3.3123690525193328</v>
      </c>
      <c r="BL17" s="86">
        <f>IFERROR('8'!BL9/'8'!BL13,0)</f>
        <v>2.7342343942761782</v>
      </c>
      <c r="BM17" s="86">
        <f>IFERROR('8'!BM9/'8'!BM13,0)</f>
        <v>4.8643013151634173</v>
      </c>
      <c r="BN17" s="86">
        <f>IFERROR('8'!BN9/'8'!BN13,0)</f>
        <v>0.63114897856575214</v>
      </c>
      <c r="BO17" s="86">
        <f>IFERROR('8'!BO9/'8'!BO13,0)</f>
        <v>0.4703943435754192</v>
      </c>
      <c r="BP17" s="86">
        <f>IFERROR('8'!BP9/'8'!BP13,0)</f>
        <v>5.2763494729738651</v>
      </c>
      <c r="BQ17" s="86">
        <f>IFERROR('8'!BQ9/'8'!BQ13,0)</f>
        <v>6.3130029120302789</v>
      </c>
      <c r="BR17" s="86">
        <f>IFERROR('8'!BR9/'8'!BR13,0)</f>
        <v>1.0265340270110064</v>
      </c>
      <c r="BS17" s="86">
        <f>IFERROR('8'!BS9/'8'!BS13,0)</f>
        <v>1.2325294814092653</v>
      </c>
      <c r="BT17" s="86">
        <f>IFERROR('8'!BT9/'8'!BT13,0)</f>
        <v>1.8170383501012282</v>
      </c>
      <c r="BU17" s="86">
        <f>IFERROR('8'!BU9/'8'!BU13,0)</f>
        <v>1.2742241279866562</v>
      </c>
      <c r="BV17" s="86">
        <f>IFERROR('8'!BV9/'8'!BV13,0)</f>
        <v>9.6375062118182537</v>
      </c>
      <c r="BW17" s="86">
        <f>IFERROR('8'!BW9/'8'!BW13,0)</f>
        <v>9.6375062118182537</v>
      </c>
      <c r="BX17" s="86">
        <f>IFERROR('8'!BX9/'8'!BX13,0)</f>
        <v>1.9761452981796188</v>
      </c>
      <c r="BY17" s="86">
        <f>IFERROR('8'!BY9/'8'!BY13,0)</f>
        <v>2.8342543232900241</v>
      </c>
      <c r="BZ17" s="86">
        <f>IFERROR('8'!BZ9/'8'!BZ13,0)</f>
        <v>0</v>
      </c>
      <c r="CA17" s="86">
        <f>IFERROR('8'!CA9/'8'!CA13,0)</f>
        <v>0</v>
      </c>
      <c r="CB17" s="86">
        <f>IFERROR('8'!CB9/'8'!CB13,0)</f>
        <v>1.1700004613601409</v>
      </c>
      <c r="CC17" s="86">
        <f>IFERROR('8'!CC9/'8'!CC13,0)</f>
        <v>1.0139637649262427</v>
      </c>
    </row>
    <row r="18" spans="1:81" s="31" customFormat="1" ht="21.75" customHeight="1" x14ac:dyDescent="0.2">
      <c r="A18" s="96" t="s">
        <v>83</v>
      </c>
      <c r="B18" s="86">
        <f>IFERROR('8'!B10/'8'!B14,0)</f>
        <v>1.4580401733483808</v>
      </c>
      <c r="C18" s="86">
        <f>IFERROR('8'!C10/'8'!C14,0)</f>
        <v>1.406080065500269</v>
      </c>
      <c r="D18" s="86">
        <f>IFERROR('8'!D10/'8'!D14,0)</f>
        <v>15.476113523886475</v>
      </c>
      <c r="E18" s="86">
        <f>IFERROR('8'!E10/'8'!E14,0)</f>
        <v>3.042081813811047</v>
      </c>
      <c r="F18" s="86">
        <f>IFERROR('8'!F10/'8'!F14,0)</f>
        <v>3.46152056630737</v>
      </c>
      <c r="G18" s="86">
        <f>IFERROR('8'!G10/'8'!G14,0)</f>
        <v>3.3836636381941436</v>
      </c>
      <c r="H18" s="86">
        <f>IFERROR('8'!H10/'8'!H14,0)</f>
        <v>1.4397504742762195</v>
      </c>
      <c r="I18" s="86">
        <f>IFERROR('8'!I10/'8'!I14,0)</f>
        <v>1.3013329434860625</v>
      </c>
      <c r="J18" s="86">
        <f>IFERROR('8'!J10/'8'!J14,0)</f>
        <v>8.2125464347890293</v>
      </c>
      <c r="K18" s="86">
        <f>IFERROR('8'!K10/'8'!K14,0)</f>
        <v>5.2206397820631985</v>
      </c>
      <c r="L18" s="86">
        <f>IFERROR('8'!L10/'8'!L14,0)</f>
        <v>7.7849866889174919</v>
      </c>
      <c r="M18" s="86">
        <f>IFERROR('8'!M10/'8'!M14,0)</f>
        <v>7.7849866889174919</v>
      </c>
      <c r="N18" s="86">
        <f>IFERROR('8'!N10/'8'!N14,0)</f>
        <v>3.6358650317884975</v>
      </c>
      <c r="O18" s="86">
        <f>IFERROR('8'!O10/'8'!O14,0)</f>
        <v>4.0217398130100737</v>
      </c>
      <c r="P18" s="86">
        <f>IFERROR('8'!P10/'8'!P14,0)</f>
        <v>0</v>
      </c>
      <c r="Q18" s="86">
        <f>IFERROR('8'!Q10/'8'!Q14,0)</f>
        <v>0</v>
      </c>
      <c r="R18" s="86">
        <f>IFERROR('8'!R10/'8'!R14,0)</f>
        <v>10.805957630826525</v>
      </c>
      <c r="S18" s="86">
        <f>IFERROR('8'!S10/'8'!S14,0)</f>
        <v>13.075921540691686</v>
      </c>
      <c r="T18" s="86">
        <f>IFERROR('8'!T10/'8'!T14,0)</f>
        <v>4.8701908470511173</v>
      </c>
      <c r="U18" s="86">
        <f>IFERROR('8'!U10/'8'!U14,0)</f>
        <v>4.4980104366456821</v>
      </c>
      <c r="V18" s="86">
        <f>IFERROR('8'!V10/'8'!V14,0)</f>
        <v>0</v>
      </c>
      <c r="W18" s="86">
        <f>IFERROR('8'!W10/'8'!W14,0)</f>
        <v>0</v>
      </c>
      <c r="X18" s="86">
        <f>IFERROR('8'!X10/'8'!X14,0)</f>
        <v>5.6444361862876375</v>
      </c>
      <c r="Y18" s="86">
        <f>IFERROR('8'!Y10/'8'!Y14,0)</f>
        <v>12.676744533070279</v>
      </c>
      <c r="Z18" s="86">
        <f>IFERROR('8'!Z10/'8'!Z14,0)</f>
        <v>4.9476197162430999</v>
      </c>
      <c r="AA18" s="86">
        <f>IFERROR('8'!AA10/'8'!AA14,0)</f>
        <v>3.333654145013428</v>
      </c>
      <c r="AB18" s="86">
        <f>IFERROR('8'!AB10/'8'!AB14,0)</f>
        <v>2.1320816129928701</v>
      </c>
      <c r="AC18" s="86">
        <f>IFERROR('8'!AC10/'8'!AC14,0)</f>
        <v>2.53586432502718</v>
      </c>
      <c r="AD18" s="86">
        <f>IFERROR('8'!AD10/'8'!AD14,0)</f>
        <v>2.2139703486057796</v>
      </c>
      <c r="AE18" s="86">
        <f>IFERROR('8'!AE10/'8'!AE14,0)</f>
        <v>2.4602586351584641</v>
      </c>
      <c r="AF18" s="86">
        <f>IFERROR('8'!AF10/'8'!AF14,0)</f>
        <v>3.080814761192455</v>
      </c>
      <c r="AG18" s="86">
        <f>IFERROR('8'!AG10/'8'!AG14,0)</f>
        <v>2.9331330625940129</v>
      </c>
      <c r="AH18" s="86">
        <f>IFERROR('8'!AH10/'8'!AH14,0)</f>
        <v>2.1283764171525759</v>
      </c>
      <c r="AI18" s="86">
        <f>IFERROR('8'!AI10/'8'!AI14,0)</f>
        <v>4.840106827245485</v>
      </c>
      <c r="AJ18" s="86">
        <f>IFERROR('8'!AJ10/'8'!AJ14,0)</f>
        <v>1.8463113573692371</v>
      </c>
      <c r="AK18" s="86">
        <f>IFERROR('8'!AK10/'8'!AK14,0)</f>
        <v>1.7005659097088031</v>
      </c>
      <c r="AL18" s="86">
        <f>IFERROR('8'!AL10/'8'!AL14,0)</f>
        <v>1.4365697283318906</v>
      </c>
      <c r="AM18" s="86">
        <f>IFERROR('8'!AM10/'8'!AM14,0)</f>
        <v>1.4657699549464416</v>
      </c>
      <c r="AN18" s="86">
        <f>IFERROR('8'!AN10/'8'!AN14,0)</f>
        <v>4.3512635884755637</v>
      </c>
      <c r="AO18" s="86">
        <f>IFERROR('8'!AO10/'8'!AO14,0)</f>
        <v>2.8667711415176527</v>
      </c>
      <c r="AP18" s="86">
        <f>IFERROR('8'!AP10/'8'!AP14,0)</f>
        <v>2.6365672453006783</v>
      </c>
      <c r="AQ18" s="86">
        <f>IFERROR('8'!AQ10/'8'!AQ14,0)</f>
        <v>2.693084763073518</v>
      </c>
      <c r="AR18" s="86">
        <f>IFERROR('8'!AR10/'8'!AR14,0)</f>
        <v>3.9481150449706397</v>
      </c>
      <c r="AS18" s="86">
        <f>IFERROR('8'!AS10/'8'!AS14,0)</f>
        <v>5.7249205351750057</v>
      </c>
      <c r="AT18" s="86">
        <f>IFERROR('8'!AT10/'8'!AT14,0)</f>
        <v>2.289046258417522</v>
      </c>
      <c r="AU18" s="86">
        <f>IFERROR('8'!AU10/'8'!AU14,0)</f>
        <v>2.6394516460559747</v>
      </c>
      <c r="AV18" s="86">
        <f>IFERROR('8'!AV10/'8'!AV14,0)</f>
        <v>0</v>
      </c>
      <c r="AW18" s="86">
        <f>IFERROR('8'!AW10/'8'!AW14,0)</f>
        <v>0</v>
      </c>
      <c r="AX18" s="86">
        <f>IFERROR('8'!AX10/'8'!AX14,0)</f>
        <v>0</v>
      </c>
      <c r="AY18" s="86">
        <f>IFERROR('8'!AY10/'8'!AY14,0)</f>
        <v>0</v>
      </c>
      <c r="AZ18" s="86">
        <f>IFERROR('8'!AZ10/'8'!AZ14,0)</f>
        <v>1.0029108903685915</v>
      </c>
      <c r="BA18" s="86">
        <f>IFERROR('8'!BA10/'8'!BA14,0)</f>
        <v>1.016926484970601</v>
      </c>
      <c r="BB18" s="86">
        <f>IFERROR('8'!BB10/'8'!BB14,0)</f>
        <v>2.770821038072258</v>
      </c>
      <c r="BC18" s="86">
        <f>IFERROR('8'!BC10/'8'!BC14,0)</f>
        <v>4.6901783448581122</v>
      </c>
      <c r="BD18" s="86">
        <f>IFERROR('8'!BD10/'8'!BD14,0)</f>
        <v>0</v>
      </c>
      <c r="BE18" s="86">
        <f>IFERROR('8'!BE10/'8'!BE14,0)</f>
        <v>0</v>
      </c>
      <c r="BF18" s="86">
        <f>IFERROR('8'!BF10/'8'!BF14,0)</f>
        <v>1.6727003506137963</v>
      </c>
      <c r="BG18" s="86">
        <f>IFERROR('8'!BG10/'8'!BG14,0)</f>
        <v>1.601347818786107</v>
      </c>
      <c r="BH18" s="86">
        <f>IFERROR('8'!BH10/'8'!BH14,0)</f>
        <v>7.5023762817497666</v>
      </c>
      <c r="BI18" s="86">
        <f>IFERROR('8'!BI10/'8'!BI14,0)</f>
        <v>4.7464280928247913</v>
      </c>
      <c r="BJ18" s="86">
        <f>IFERROR('8'!BJ10/'8'!BJ14,0)</f>
        <v>2.7930378296770186</v>
      </c>
      <c r="BK18" s="86">
        <f>IFERROR('8'!BK10/'8'!BK14,0)</f>
        <v>2.1204288662184254</v>
      </c>
      <c r="BL18" s="86">
        <f>IFERROR('8'!BL10/'8'!BL14,0)</f>
        <v>2.2433512409630798</v>
      </c>
      <c r="BM18" s="86">
        <f>IFERROR('8'!BM10/'8'!BM14,0)</f>
        <v>2.5198796748992969</v>
      </c>
      <c r="BN18" s="86">
        <f>IFERROR('8'!BN10/'8'!BN14,0)</f>
        <v>2.0198093855656691</v>
      </c>
      <c r="BO18" s="86">
        <f>IFERROR('8'!BO10/'8'!BO14,0)</f>
        <v>2.0173220690775997</v>
      </c>
      <c r="BP18" s="86">
        <f>IFERROR('8'!BP10/'8'!BP14,0)</f>
        <v>5.0778486061117922</v>
      </c>
      <c r="BQ18" s="86">
        <f>IFERROR('8'!BQ10/'8'!BQ14,0)</f>
        <v>3.3687670084260724</v>
      </c>
      <c r="BR18" s="86">
        <f>IFERROR('8'!BR10/'8'!BR14,0)</f>
        <v>1.3620953579219726</v>
      </c>
      <c r="BS18" s="86">
        <f>IFERROR('8'!BS10/'8'!BS14,0)</f>
        <v>1.0359689105318055</v>
      </c>
      <c r="BT18" s="86">
        <f>IFERROR('8'!BT10/'8'!BT14,0)</f>
        <v>1.6394704929768114</v>
      </c>
      <c r="BU18" s="86">
        <f>IFERROR('8'!BU10/'8'!BU14,0)</f>
        <v>1.2558781401316115</v>
      </c>
      <c r="BV18" s="86">
        <f>IFERROR('8'!BV10/'8'!BV14,0)</f>
        <v>3.3527549201123419</v>
      </c>
      <c r="BW18" s="86">
        <f>IFERROR('8'!BW10/'8'!BW14,0)</f>
        <v>2.8754564840009493</v>
      </c>
      <c r="BX18" s="86">
        <f>IFERROR('8'!BX10/'8'!BX14,0)</f>
        <v>1.8541157452674875</v>
      </c>
      <c r="BY18" s="86">
        <f>IFERROR('8'!BY10/'8'!BY14,0)</f>
        <v>2.7933778998377616</v>
      </c>
      <c r="BZ18" s="86">
        <f>IFERROR('8'!BZ10/'8'!BZ14,0)</f>
        <v>61.490163934426228</v>
      </c>
      <c r="CA18" s="86">
        <f>IFERROR('8'!CA10/'8'!CA14,0)</f>
        <v>24.397270420902863</v>
      </c>
      <c r="CB18" s="86">
        <f>IFERROR('8'!CB10/'8'!CB14,0)</f>
        <v>1.1686350084066222</v>
      </c>
      <c r="CC18" s="86">
        <f>IFERROR('8'!CC10/'8'!CC14,0)</f>
        <v>1.0948240030961562</v>
      </c>
    </row>
    <row r="19" spans="1:81" s="31" customFormat="1" ht="21.75" customHeight="1" x14ac:dyDescent="0.2">
      <c r="A19" s="99" t="s">
        <v>84</v>
      </c>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row>
    <row r="20" spans="1:81" s="31" customFormat="1" ht="21.75" customHeight="1" x14ac:dyDescent="0.2">
      <c r="A20" s="96" t="s">
        <v>85</v>
      </c>
      <c r="B20" s="86">
        <f>IFERROR('8'!B26/'8'!B10,0)</f>
        <v>0.31414784154849051</v>
      </c>
      <c r="C20" s="86">
        <f>IFERROR('8'!C26/'8'!C10,0)</f>
        <v>0.28880294619338748</v>
      </c>
      <c r="D20" s="86">
        <f>IFERROR('8'!D26/'8'!D10,0)</f>
        <v>0.93538429409576518</v>
      </c>
      <c r="E20" s="86">
        <f>IFERROR('8'!E26/'8'!E10,0)</f>
        <v>0.67127774293906184</v>
      </c>
      <c r="F20" s="86">
        <f>IFERROR('8'!F26/'8'!F10,0)</f>
        <v>0.71110961762484481</v>
      </c>
      <c r="G20" s="86">
        <f>IFERROR('8'!G26/'8'!G10,0)</f>
        <v>0.70446235000660451</v>
      </c>
      <c r="H20" s="86">
        <f>IFERROR('8'!H26/'8'!H10,0)</f>
        <v>0.30543520014972564</v>
      </c>
      <c r="I20" s="86">
        <f>IFERROR('8'!I26/'8'!I10,0)</f>
        <v>0.23155714684271328</v>
      </c>
      <c r="J20" s="86">
        <f>IFERROR('8'!J26/'8'!J10,0)</f>
        <v>0.87823508726064348</v>
      </c>
      <c r="K20" s="86">
        <f>IFERROR('8'!K26/'8'!K10,0)</f>
        <v>0.80845259551602322</v>
      </c>
      <c r="L20" s="86">
        <f>IFERROR('8'!L26/'8'!L10,0)</f>
        <v>0.87154762879381997</v>
      </c>
      <c r="M20" s="86">
        <f>IFERROR('8'!M26/'8'!M10,0)</f>
        <v>0.87154762879381997</v>
      </c>
      <c r="N20" s="86">
        <f>IFERROR('8'!N26/'8'!N10,0)</f>
        <v>0.72496228785805727</v>
      </c>
      <c r="O20" s="86">
        <f>IFERROR('8'!O26/'8'!O10,0)</f>
        <v>0.75135139355234692</v>
      </c>
      <c r="P20" s="86">
        <f>IFERROR('8'!P26/'8'!P10,0)</f>
        <v>0</v>
      </c>
      <c r="Q20" s="86">
        <f>IFERROR('8'!Q26/'8'!Q10,0)</f>
        <v>0</v>
      </c>
      <c r="R20" s="86">
        <f>IFERROR('8'!R26/'8'!R10,0)</f>
        <v>0.90745845632901001</v>
      </c>
      <c r="S20" s="86">
        <f>IFERROR('8'!S26/'8'!S10,0)</f>
        <v>0.92352355458175206</v>
      </c>
      <c r="T20" s="86">
        <f>IFERROR('8'!T26/'8'!T10,0)</f>
        <v>0.79466923752988117</v>
      </c>
      <c r="U20" s="86">
        <f>IFERROR('8'!U26/'8'!U10,0)</f>
        <v>0.77767948427755684</v>
      </c>
      <c r="V20" s="86">
        <f>IFERROR('8'!V26/'8'!V10,0)</f>
        <v>0</v>
      </c>
      <c r="W20" s="86">
        <f>IFERROR('8'!W26/'8'!W10,0)</f>
        <v>0</v>
      </c>
      <c r="X20" s="86">
        <f>IFERROR('8'!X26/'8'!X10,0)</f>
        <v>0.82283438646549689</v>
      </c>
      <c r="Y20" s="86">
        <f>IFERROR('8'!Y26/'8'!Y10,0)</f>
        <v>0.92111539383070595</v>
      </c>
      <c r="Z20" s="86">
        <f>IFERROR('8'!Z26/'8'!Z10,0)</f>
        <v>0.79788260671753186</v>
      </c>
      <c r="AA20" s="86">
        <f>IFERROR('8'!AA26/'8'!AA10,0)</f>
        <v>0.70002887027263228</v>
      </c>
      <c r="AB20" s="86">
        <f>IFERROR('8'!AB26/'8'!AB10,0)</f>
        <v>0.53097480232181704</v>
      </c>
      <c r="AC20" s="86">
        <f>IFERROR('8'!AC26/'8'!AC10,0)</f>
        <v>0.60565713625499984</v>
      </c>
      <c r="AD20" s="86">
        <f>IFERROR('8'!AD26/'8'!AD10,0)</f>
        <v>0.5483227674527178</v>
      </c>
      <c r="AE20" s="86">
        <f>IFERROR('8'!AE26/'8'!AE10,0)</f>
        <v>0.59353866877675221</v>
      </c>
      <c r="AF20" s="86">
        <f>IFERROR('8'!AF26/'8'!AF10,0)</f>
        <v>0.67541053990115862</v>
      </c>
      <c r="AG20" s="86">
        <f>IFERROR('8'!AG26/'8'!AG10,0)</f>
        <v>0.65906763223499409</v>
      </c>
      <c r="AH20" s="86">
        <f>IFERROR('8'!AH26/'8'!AH10,0)</f>
        <v>0.53015829721612939</v>
      </c>
      <c r="AI20" s="86">
        <f>IFERROR('8'!AI26/'8'!AI10,0)</f>
        <v>0.79339298992929419</v>
      </c>
      <c r="AJ20" s="86">
        <f>IFERROR('8'!AJ26/'8'!AJ10,0)</f>
        <v>0.45837954361886446</v>
      </c>
      <c r="AK20" s="86">
        <f>IFERROR('8'!AK26/'8'!AK10,0)</f>
        <v>0.41196045722730307</v>
      </c>
      <c r="AL20" s="86">
        <f>IFERROR('8'!AL26/'8'!AL10,0)</f>
        <v>0.30389734638138627</v>
      </c>
      <c r="AM20" s="86">
        <f>IFERROR('8'!AM26/'8'!AM10,0)</f>
        <v>0.31776470337288398</v>
      </c>
      <c r="AN20" s="86">
        <f>IFERROR('8'!AN26/'8'!AN10,0)</f>
        <v>0.77018170017359411</v>
      </c>
      <c r="AO20" s="86">
        <f>IFERROR('8'!AO26/'8'!AO10,0)</f>
        <v>0.65117550350719466</v>
      </c>
      <c r="AP20" s="86">
        <f>IFERROR('8'!AP26/'8'!AP10,0)</f>
        <v>0.62071894741832823</v>
      </c>
      <c r="AQ20" s="86">
        <f>IFERROR('8'!AQ26/'8'!AQ10,0)</f>
        <v>0.62867860168696021</v>
      </c>
      <c r="AR20" s="86">
        <f>IFERROR('8'!AR26/'8'!AR10,0)</f>
        <v>0.74671457426908983</v>
      </c>
      <c r="AS20" s="86">
        <f>IFERROR('8'!AS26/'8'!AS10,0)</f>
        <v>0.82532508637354718</v>
      </c>
      <c r="AT20" s="86">
        <f>IFERROR('8'!AT26/'8'!AT10,0)</f>
        <v>0.56313683206589005</v>
      </c>
      <c r="AU20" s="86">
        <f>IFERROR('8'!AU26/'8'!AU10,0)</f>
        <v>0.62113342690165996</v>
      </c>
      <c r="AV20" s="86">
        <f>IFERROR('8'!AV26/'8'!AV10,0)</f>
        <v>0</v>
      </c>
      <c r="AW20" s="86">
        <f>IFERROR('8'!AW26/'8'!AW10,0)</f>
        <v>0</v>
      </c>
      <c r="AX20" s="86">
        <f>IFERROR('8'!AX26/'8'!AX10,0)</f>
        <v>0</v>
      </c>
      <c r="AY20" s="86">
        <f>IFERROR('8'!AY26/'8'!AY10,0)</f>
        <v>0</v>
      </c>
      <c r="AZ20" s="86">
        <f>IFERROR('8'!AZ26/'8'!AZ10,0)</f>
        <v>2.9024416790625115E-3</v>
      </c>
      <c r="BA20" s="86">
        <f>IFERROR('8'!BA26/'8'!BA10,0)</f>
        <v>1.6644747895508294E-2</v>
      </c>
      <c r="BB20" s="86">
        <f>IFERROR('8'!BB26/'8'!BB10,0)</f>
        <v>0.63909614289065397</v>
      </c>
      <c r="BC20" s="86">
        <f>IFERROR('8'!BC26/'8'!BC10,0)</f>
        <v>0.78678849150879093</v>
      </c>
      <c r="BD20" s="86">
        <f>IFERROR('8'!BD26/'8'!BD10,0)</f>
        <v>0</v>
      </c>
      <c r="BE20" s="86">
        <f>IFERROR('8'!BE26/'8'!BE10,0)</f>
        <v>0</v>
      </c>
      <c r="BF20" s="86">
        <f>IFERROR('8'!BF26/'8'!BF10,0)</f>
        <v>0.40216429103213214</v>
      </c>
      <c r="BG20" s="86">
        <f>IFERROR('8'!BG26/'8'!BG10,0)</f>
        <v>0.37552604857697652</v>
      </c>
      <c r="BH20" s="86">
        <f>IFERROR('8'!BH26/'8'!BH10,0)</f>
        <v>0.8667088982949851</v>
      </c>
      <c r="BI20" s="86">
        <f>IFERROR('8'!BI26/'8'!BI10,0)</f>
        <v>0.78931525339829611</v>
      </c>
      <c r="BJ20" s="86">
        <f>IFERROR('8'!BJ26/'8'!BJ10,0)</f>
        <v>0.64196689734215373</v>
      </c>
      <c r="BK20" s="86">
        <f>IFERROR('8'!BK26/'8'!BK10,0)</f>
        <v>0.52839728984476575</v>
      </c>
      <c r="BL20" s="86">
        <f>IFERROR('8'!BL26/'8'!BL10,0)</f>
        <v>0.55423832802450679</v>
      </c>
      <c r="BM20" s="86">
        <f>IFERROR('8'!BM26/'8'!BM10,0)</f>
        <v>0.60315565462864273</v>
      </c>
      <c r="BN20" s="86">
        <f>IFERROR('8'!BN26/'8'!BN10,0)</f>
        <v>0.50490377599669423</v>
      </c>
      <c r="BO20" s="86">
        <f>IFERROR('8'!BO26/'8'!BO10,0)</f>
        <v>0.50429333256774411</v>
      </c>
      <c r="BP20" s="86">
        <f>IFERROR('8'!BP26/'8'!BP10,0)</f>
        <v>0.80306620429833586</v>
      </c>
      <c r="BQ20" s="86">
        <f>IFERROR('8'!BQ26/'8'!BQ10,0)</f>
        <v>0.70315548760161606</v>
      </c>
      <c r="BR20" s="86">
        <f>IFERROR('8'!BR26/'8'!BR10,0)</f>
        <v>0.26583701046774666</v>
      </c>
      <c r="BS20" s="86">
        <f>IFERROR('8'!BS26/'8'!BS10,0)</f>
        <v>3.4720067529189783E-2</v>
      </c>
      <c r="BT20" s="86">
        <f>IFERROR('8'!BT26/'8'!BT10,0)</f>
        <v>0.39004696682019274</v>
      </c>
      <c r="BU20" s="86">
        <f>IFERROR('8'!BU26/'8'!BU10,0)</f>
        <v>0.20374440159042537</v>
      </c>
      <c r="BV20" s="86">
        <f>IFERROR('8'!BV26/'8'!BV10,0)</f>
        <v>0.70173781745833874</v>
      </c>
      <c r="BW20" s="86">
        <f>IFERROR('8'!BW26/'8'!BW10,0)</f>
        <v>0.65222913107396907</v>
      </c>
      <c r="BX20" s="86">
        <f>IFERROR('8'!BX26/'8'!BX10,0)</f>
        <v>0.46065934526879648</v>
      </c>
      <c r="BY20" s="86">
        <f>IFERROR('8'!BY26/'8'!BY10,0)</f>
        <v>0.64201048484772516</v>
      </c>
      <c r="BZ20" s="86">
        <f>IFERROR('8'!BZ26/'8'!BZ10,0)</f>
        <v>0.98373723639659816</v>
      </c>
      <c r="CA20" s="86">
        <f>IFERROR('8'!CA26/'8'!CA10,0)</f>
        <v>0.95901180817575271</v>
      </c>
      <c r="CB20" s="86">
        <f>IFERROR('8'!CB26/'8'!CB10,0)</f>
        <v>0.14430083575585154</v>
      </c>
      <c r="CC20" s="86">
        <f>IFERROR('8'!CC26/'8'!CC10,0)</f>
        <v>8.6611183923621049E-2</v>
      </c>
    </row>
    <row r="21" spans="1:81" s="31" customFormat="1" ht="21.75" customHeight="1" x14ac:dyDescent="0.2">
      <c r="A21" s="99" t="s">
        <v>86</v>
      </c>
      <c r="B21" s="10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row>
    <row r="22" spans="1:81" s="31" customFormat="1" ht="21.75" customHeight="1" x14ac:dyDescent="0.2">
      <c r="A22" s="96" t="s">
        <v>87</v>
      </c>
      <c r="B22" s="86">
        <f>IFERROR('8'!B31/'8'!B28,)</f>
        <v>8.4432153703747057E-2</v>
      </c>
      <c r="C22" s="86">
        <f>IFERROR('8'!C31/'8'!C28,)</f>
        <v>9.3900706170421663E-2</v>
      </c>
      <c r="D22" s="86">
        <f>IFERROR('8'!D31/'8'!D28,)</f>
        <v>3.037141475663618E-2</v>
      </c>
      <c r="E22" s="86">
        <f>IFERROR('8'!E31/'8'!E28,)</f>
        <v>-1.2707157707157708</v>
      </c>
      <c r="F22" s="86">
        <f>IFERROR('8'!F31/'8'!F28,)</f>
        <v>0.27959955952764814</v>
      </c>
      <c r="G22" s="86">
        <f>IFERROR('8'!G31/'8'!G28,)</f>
        <v>0.3759672222389866</v>
      </c>
      <c r="H22" s="86">
        <f>IFERROR('8'!H31/'8'!H28,)</f>
        <v>0.14382308546865649</v>
      </c>
      <c r="I22" s="86">
        <f>IFERROR('8'!I31/'8'!I28,)</f>
        <v>-0.19082711053272161</v>
      </c>
      <c r="J22" s="86">
        <f>IFERROR('8'!J31/'8'!J28,)</f>
        <v>1.2598373497119073E-2</v>
      </c>
      <c r="K22" s="86">
        <f>IFERROR('8'!K31/'8'!K28,)</f>
        <v>2.5940456017965043E-2</v>
      </c>
      <c r="L22" s="86">
        <f>IFERROR('8'!L31/'8'!L28,)</f>
        <v>0</v>
      </c>
      <c r="M22" s="86">
        <f>IFERROR('8'!M31/'8'!M28,)</f>
        <v>0</v>
      </c>
      <c r="N22" s="86">
        <f>IFERROR('8'!N31/'8'!N28,)</f>
        <v>9.2368012510340297E-2</v>
      </c>
      <c r="O22" s="86">
        <f>IFERROR('8'!O31/'8'!O28,)</f>
        <v>8.5570816041088668E-2</v>
      </c>
      <c r="P22" s="86">
        <f>IFERROR('8'!P31/'8'!P28,)</f>
        <v>0</v>
      </c>
      <c r="Q22" s="86">
        <f>IFERROR('8'!Q31/'8'!Q28,)</f>
        <v>0</v>
      </c>
      <c r="R22" s="86">
        <f>IFERROR('8'!R31/'8'!R28,)</f>
        <v>0.82261019506412325</v>
      </c>
      <c r="S22" s="86">
        <f>IFERROR('8'!S31/'8'!S28,)</f>
        <v>0.36636271864910319</v>
      </c>
      <c r="T22" s="86">
        <f>IFERROR('8'!T31/'8'!T28,)</f>
        <v>-8.0019079370674748E-2</v>
      </c>
      <c r="U22" s="86">
        <f>IFERROR('8'!U31/'8'!U28,)</f>
        <v>9.5666103789868048E-2</v>
      </c>
      <c r="V22" s="86">
        <f>IFERROR('8'!V31/'8'!V28,)</f>
        <v>0</v>
      </c>
      <c r="W22" s="86">
        <f>IFERROR('8'!W31/'8'!W28,)</f>
        <v>0</v>
      </c>
      <c r="X22" s="86">
        <f>IFERROR('8'!X31/'8'!X28,)</f>
        <v>2.7938314525996853E-2</v>
      </c>
      <c r="Y22" s="86">
        <f>IFERROR('8'!Y31/'8'!Y28,)</f>
        <v>2.6112763793058318E-2</v>
      </c>
      <c r="Z22" s="86">
        <f>IFERROR('8'!Z31/'8'!Z28,)</f>
        <v>6.7882487804829389E-2</v>
      </c>
      <c r="AA22" s="86">
        <f>IFERROR('8'!AA31/'8'!AA28,)</f>
        <v>4.6884790679547164E-2</v>
      </c>
      <c r="AB22" s="86">
        <f>IFERROR('8'!AB31/'8'!AB28,)</f>
        <v>7.7279814705192074E-2</v>
      </c>
      <c r="AC22" s="86">
        <f>IFERROR('8'!AC31/'8'!AC28,)</f>
        <v>0.17086576970684592</v>
      </c>
      <c r="AD22" s="86">
        <f>IFERROR('8'!AD31/'8'!AD28,)</f>
        <v>0</v>
      </c>
      <c r="AE22" s="86">
        <f>IFERROR('8'!AE31/'8'!AE28,)</f>
        <v>0</v>
      </c>
      <c r="AF22" s="86">
        <f>IFERROR('8'!AF31/'8'!AF28,)</f>
        <v>-7.2641681978710959E-2</v>
      </c>
      <c r="AG22" s="86">
        <f>IFERROR('8'!AG31/'8'!AG28,)</f>
        <v>-0.10195125363680221</v>
      </c>
      <c r="AH22" s="86">
        <f>IFERROR('8'!AH31/'8'!AH28,)</f>
        <v>0.24913954104205285</v>
      </c>
      <c r="AI22" s="86">
        <f>IFERROR('8'!AI31/'8'!AI28,)</f>
        <v>3.6266449421600434E-2</v>
      </c>
      <c r="AJ22" s="86">
        <f>IFERROR('8'!AJ31/'8'!AJ28,)</f>
        <v>6.6447466672701599E-2</v>
      </c>
      <c r="AK22" s="86">
        <f>IFERROR('8'!AK31/'8'!AK28,)</f>
        <v>8.0158870934831469E-2</v>
      </c>
      <c r="AL22" s="86">
        <f>IFERROR('8'!AL31/'8'!AL28,)</f>
        <v>-5.0174325497744789E-2</v>
      </c>
      <c r="AM22" s="86">
        <f>IFERROR('8'!AM31/'8'!AM28,)</f>
        <v>-2.8589883258834103E-3</v>
      </c>
      <c r="AN22" s="86">
        <f>IFERROR('8'!AN31/'8'!AN28,)</f>
        <v>5.4858132418195815E-2</v>
      </c>
      <c r="AO22" s="86">
        <f>IFERROR('8'!AO31/'8'!AO28,)</f>
        <v>1.5245570279249313E-2</v>
      </c>
      <c r="AP22" s="86">
        <f>IFERROR('8'!AP31/'8'!AP28,)</f>
        <v>3.836584325573407E-2</v>
      </c>
      <c r="AQ22" s="86">
        <f>IFERROR('8'!AQ31/'8'!AQ28,)</f>
        <v>6.5338882474491738E-2</v>
      </c>
      <c r="AR22" s="86">
        <f>IFERROR('8'!AR31/'8'!AR28,)</f>
        <v>0.11749030447177672</v>
      </c>
      <c r="AS22" s="86">
        <f>IFERROR('8'!AS31/'8'!AS28,)</f>
        <v>-0.14004940775970673</v>
      </c>
      <c r="AT22" s="86">
        <f>IFERROR('8'!AT31/'8'!AT28,)</f>
        <v>0.12170098597427138</v>
      </c>
      <c r="AU22" s="86">
        <f>IFERROR('8'!AU31/'8'!AU28,)</f>
        <v>0.11651813609432765</v>
      </c>
      <c r="AV22" s="86">
        <f>IFERROR('8'!AV31/'8'!AV28,)</f>
        <v>0</v>
      </c>
      <c r="AW22" s="86">
        <f>IFERROR('8'!AW31/'8'!AW28,)</f>
        <v>0</v>
      </c>
      <c r="AX22" s="86">
        <f>IFERROR('8'!AX31/'8'!AX28,)</f>
        <v>0</v>
      </c>
      <c r="AY22" s="86">
        <f>IFERROR('8'!AY31/'8'!AY28,)</f>
        <v>0</v>
      </c>
      <c r="AZ22" s="86">
        <f>IFERROR('8'!AZ31/'8'!AZ28,)</f>
        <v>-0.5662546885568468</v>
      </c>
      <c r="BA22" s="86">
        <f>IFERROR('8'!BA31/'8'!BA28,)</f>
        <v>-0.73701142887613091</v>
      </c>
      <c r="BB22" s="86">
        <f>IFERROR('8'!BB31/'8'!BB28,)</f>
        <v>7.6092875833761564E-2</v>
      </c>
      <c r="BC22" s="86">
        <f>IFERROR('8'!BC31/'8'!BC28,)</f>
        <v>7.7393122616801147E-2</v>
      </c>
      <c r="BD22" s="86">
        <f>IFERROR('8'!BD31/'8'!BD28,)</f>
        <v>0</v>
      </c>
      <c r="BE22" s="86">
        <f>IFERROR('8'!BE31/'8'!BE28,)</f>
        <v>0</v>
      </c>
      <c r="BF22" s="86">
        <f>IFERROR('8'!BF31/'8'!BF28,)</f>
        <v>0.12618312385803035</v>
      </c>
      <c r="BG22" s="86">
        <f>IFERROR('8'!BG31/'8'!BG28,)</f>
        <v>0.20496569413160104</v>
      </c>
      <c r="BH22" s="86">
        <f>IFERROR('8'!BH31/'8'!BH28,)</f>
        <v>0.36744106217869038</v>
      </c>
      <c r="BI22" s="86">
        <f>IFERROR('8'!BI31/'8'!BI28,)</f>
        <v>0.16633757067325888</v>
      </c>
      <c r="BJ22" s="86">
        <f>IFERROR('8'!BJ31/'8'!BJ28,)</f>
        <v>0.36983078380307916</v>
      </c>
      <c r="BK22" s="86">
        <f>IFERROR('8'!BK31/'8'!BK28,)</f>
        <v>0.30174624888086304</v>
      </c>
      <c r="BL22" s="86">
        <f>IFERROR('8'!BL31/'8'!BL28,)</f>
        <v>0.20150418194977746</v>
      </c>
      <c r="BM22" s="86">
        <f>IFERROR('8'!BM31/'8'!BM28,)</f>
        <v>0.19342015846556376</v>
      </c>
      <c r="BN22" s="86">
        <f>IFERROR('8'!BN31/'8'!BN28,)</f>
        <v>0.1252354564550377</v>
      </c>
      <c r="BO22" s="86">
        <f>IFERROR('8'!BO31/'8'!BO28,)</f>
        <v>0.12445336071205643</v>
      </c>
      <c r="BP22" s="86">
        <f>IFERROR('8'!BP31/'8'!BP28,)</f>
        <v>-7.5773677736777373E-2</v>
      </c>
      <c r="BQ22" s="86">
        <f>IFERROR('8'!BQ31/'8'!BQ28,)</f>
        <v>5.7667716443678491E-2</v>
      </c>
      <c r="BR22" s="86">
        <f>IFERROR('8'!BR31/'8'!BR28,)</f>
        <v>0.16569419828151363</v>
      </c>
      <c r="BS22" s="86">
        <f>IFERROR('8'!BS31/'8'!BS28,)</f>
        <v>-0.11895949881962908</v>
      </c>
      <c r="BT22" s="86">
        <f>IFERROR('8'!BT31/'8'!BT28,)</f>
        <v>-0.20637198757407532</v>
      </c>
      <c r="BU22" s="86">
        <f>IFERROR('8'!BU31/'8'!BU28,)</f>
        <v>-0.18330708347195568</v>
      </c>
      <c r="BV22" s="86">
        <f>IFERROR('8'!BV31/'8'!BV28,)</f>
        <v>0.15940860949801985</v>
      </c>
      <c r="BW22" s="86">
        <f>IFERROR('8'!BW31/'8'!BW28,)</f>
        <v>3.5522938097622747E-2</v>
      </c>
      <c r="BX22" s="86">
        <f>IFERROR('8'!BX31/'8'!BX28,)</f>
        <v>-0.92348410371774314</v>
      </c>
      <c r="BY22" s="86">
        <f>IFERROR('8'!BY31/'8'!BY28,)</f>
        <v>-1.4042025605090509E-2</v>
      </c>
      <c r="BZ22" s="86">
        <f>IFERROR('8'!BZ31/'8'!BZ28,)</f>
        <v>0</v>
      </c>
      <c r="CA22" s="86">
        <f>IFERROR('8'!CA31/'8'!CA28,)</f>
        <v>9.1819351081126988E-2</v>
      </c>
      <c r="CB22" s="86">
        <f>IFERROR('8'!CB31/'8'!CB28,)</f>
        <v>-2.547425280630243E-2</v>
      </c>
      <c r="CC22" s="86">
        <f>IFERROR('8'!CC31/'8'!CC28,)</f>
        <v>4.0279363535951178E-2</v>
      </c>
    </row>
    <row r="23" spans="1:81" s="31" customFormat="1" ht="21.75" customHeight="1" x14ac:dyDescent="0.2">
      <c r="A23" s="96" t="s">
        <v>88</v>
      </c>
      <c r="B23" s="86">
        <f>IFERROR(+'8'!B36/'8'!B28,0)</f>
        <v>3.2937855659298167E-2</v>
      </c>
      <c r="C23" s="86">
        <f>IFERROR(+'8'!C36/'8'!C28,0)</f>
        <v>5.4956103403728705E-4</v>
      </c>
      <c r="D23" s="86">
        <f>IFERROR(+'8'!D36/'8'!D28,0)</f>
        <v>1.3460483598997208E-2</v>
      </c>
      <c r="E23" s="86">
        <f>IFERROR(+'8'!E36/'8'!E28,0)</f>
        <v>-1.2707157707157708</v>
      </c>
      <c r="F23" s="86">
        <f>IFERROR(+'8'!F36/'8'!F28,0)</f>
        <v>-0.50747707901124905</v>
      </c>
      <c r="G23" s="86">
        <f>IFERROR(+'8'!G36/'8'!G28,0)</f>
        <v>4.8502771155838542E-3</v>
      </c>
      <c r="H23" s="86">
        <f>IFERROR(+'8'!H36/'8'!H28,0)</f>
        <v>4.2312833240767081E-2</v>
      </c>
      <c r="I23" s="86">
        <f>IFERROR(+'8'!I36/'8'!I28,0)</f>
        <v>4.1213230249723669E-2</v>
      </c>
      <c r="J23" s="86">
        <f>IFERROR(+'8'!J36/'8'!J28,0)</f>
        <v>1.9189426182219881E-2</v>
      </c>
      <c r="K23" s="86">
        <f>IFERROR(+'8'!K36/'8'!K28,0)</f>
        <v>1.5697964226699754E-2</v>
      </c>
      <c r="L23" s="86">
        <f>IFERROR(+'8'!L36/'8'!L28,0)</f>
        <v>0</v>
      </c>
      <c r="M23" s="86">
        <f>IFERROR(+'8'!M36/'8'!M28,0)</f>
        <v>0</v>
      </c>
      <c r="N23" s="86">
        <f>IFERROR(+'8'!N36/'8'!N28,0)</f>
        <v>9.2368012510340297E-2</v>
      </c>
      <c r="O23" s="86">
        <f>IFERROR(+'8'!O36/'8'!O28,0)</f>
        <v>8.5570816041088668E-2</v>
      </c>
      <c r="P23" s="86">
        <f>IFERROR(+'8'!P36/'8'!P28,0)</f>
        <v>0</v>
      </c>
      <c r="Q23" s="86">
        <f>IFERROR(+'8'!Q36/'8'!Q28,0)</f>
        <v>0</v>
      </c>
      <c r="R23" s="86">
        <f>IFERROR(+'8'!R36/'8'!R28,0)</f>
        <v>0.56760103459424505</v>
      </c>
      <c r="S23" s="86">
        <f>IFERROR(+'8'!S36/'8'!S28,0)</f>
        <v>0.23813576547844548</v>
      </c>
      <c r="T23" s="86">
        <f>IFERROR(+'8'!T36/'8'!T28,0)</f>
        <v>5.4031848428039032E-3</v>
      </c>
      <c r="U23" s="86">
        <f>IFERROR(+'8'!U36/'8'!U28,0)</f>
        <v>2.6543819080855773E-2</v>
      </c>
      <c r="V23" s="86">
        <f>IFERROR(+'8'!V36/'8'!V28,0)</f>
        <v>0</v>
      </c>
      <c r="W23" s="86">
        <f>IFERROR(+'8'!W36/'8'!W28,0)</f>
        <v>0</v>
      </c>
      <c r="X23" s="86">
        <f>IFERROR(+'8'!X36/'8'!X28,0)</f>
        <v>2.5144483073397169E-2</v>
      </c>
      <c r="Y23" s="86">
        <f>IFERROR(+'8'!Y36/'8'!Y28,0)</f>
        <v>2.3501487413752485E-2</v>
      </c>
      <c r="Z23" s="86">
        <f>IFERROR(+'8'!Z36/'8'!Z28,0)</f>
        <v>6.2025849677638786E-2</v>
      </c>
      <c r="AA23" s="86">
        <f>IFERROR(+'8'!AA36/'8'!AA28,0)</f>
        <v>4.9261319671360876E-3</v>
      </c>
      <c r="AB23" s="86">
        <f>IFERROR(+'8'!AB36/'8'!AB28,0)</f>
        <v>3.6672032260290491E-2</v>
      </c>
      <c r="AC23" s="86">
        <f>IFERROR(+'8'!AC36/'8'!AC28,0)</f>
        <v>5.5946968563020387E-2</v>
      </c>
      <c r="AD23" s="86">
        <f>IFERROR(+'8'!AD36/'8'!AD28,0)</f>
        <v>0</v>
      </c>
      <c r="AE23" s="86">
        <f>IFERROR(+'8'!AE36/'8'!AE28,0)</f>
        <v>0</v>
      </c>
      <c r="AF23" s="86">
        <f>IFERROR(+'8'!AF36/'8'!AF28,0)</f>
        <v>0.29710762142682284</v>
      </c>
      <c r="AG23" s="86">
        <f>IFERROR(+'8'!AG36/'8'!AG28,0)</f>
        <v>0.2147521117246983</v>
      </c>
      <c r="AH23" s="86">
        <f>IFERROR(+'8'!AH36/'8'!AH28,0)</f>
        <v>0.21429852288653933</v>
      </c>
      <c r="AI23" s="86">
        <f>IFERROR(+'8'!AI36/'8'!AI28,0)</f>
        <v>1.0024147192198955E-2</v>
      </c>
      <c r="AJ23" s="86">
        <f>IFERROR(+'8'!AJ36/'8'!AJ28,0)</f>
        <v>4.2289205086715749E-2</v>
      </c>
      <c r="AK23" s="86">
        <f>IFERROR(+'8'!AK36/'8'!AK28,0)</f>
        <v>4.4428779817979963E-2</v>
      </c>
      <c r="AL23" s="86">
        <f>IFERROR(+'8'!AL36/'8'!AL28,0)</f>
        <v>-0.136560052050057</v>
      </c>
      <c r="AM23" s="86">
        <f>IFERROR(+'8'!AM36/'8'!AM28,0)</f>
        <v>0.14026798938561871</v>
      </c>
      <c r="AN23" s="86">
        <f>IFERROR(+'8'!AN36/'8'!AN28,0)</f>
        <v>0.39139966785706742</v>
      </c>
      <c r="AO23" s="86">
        <f>IFERROR(+'8'!AO36/'8'!AO28,0)</f>
        <v>0.24155306691959974</v>
      </c>
      <c r="AP23" s="86">
        <f>IFERROR(+'8'!AP36/'8'!AP28,0)</f>
        <v>1.8194921749120636E-2</v>
      </c>
      <c r="AQ23" s="86">
        <f>IFERROR(+'8'!AQ36/'8'!AQ28,0)</f>
        <v>3.5535386901730276E-2</v>
      </c>
      <c r="AR23" s="86">
        <f>IFERROR(+'8'!AR36/'8'!AR28,0)</f>
        <v>5.9375100953320104E-2</v>
      </c>
      <c r="AS23" s="86">
        <f>IFERROR(+'8'!AS36/'8'!AS28,0)</f>
        <v>6.1458444098501298E-2</v>
      </c>
      <c r="AT23" s="86">
        <f>IFERROR(+'8'!AT36/'8'!AT28,0)</f>
        <v>3.8068071888099436E-2</v>
      </c>
      <c r="AU23" s="86">
        <f>IFERROR(+'8'!AU36/'8'!AU28,0)</f>
        <v>5.4892627154664128E-2</v>
      </c>
      <c r="AV23" s="86">
        <f>IFERROR(+'8'!AV36/'8'!AV28,0)</f>
        <v>0</v>
      </c>
      <c r="AW23" s="86">
        <f>IFERROR(+'8'!AW36/'8'!AW28,0)</f>
        <v>0</v>
      </c>
      <c r="AX23" s="86">
        <f>IFERROR(+'8'!AX36/'8'!AX28,0)</f>
        <v>0</v>
      </c>
      <c r="AY23" s="86">
        <f>IFERROR(+'8'!AY36/'8'!AY28,0)</f>
        <v>0</v>
      </c>
      <c r="AZ23" s="86">
        <f>IFERROR(+'8'!AZ36/'8'!AZ28,0)</f>
        <v>-9.6230707741499111E-2</v>
      </c>
      <c r="BA23" s="86">
        <f>IFERROR(+'8'!BA36/'8'!BA28,0)</f>
        <v>-8.0357618954515556E-2</v>
      </c>
      <c r="BB23" s="86">
        <f>IFERROR(+'8'!BB36/'8'!BB28,0)</f>
        <v>4.9798816861530912E-2</v>
      </c>
      <c r="BC23" s="86">
        <f>IFERROR(+'8'!BC36/'8'!BC28,0)</f>
        <v>4.5957621353702981E-2</v>
      </c>
      <c r="BD23" s="86">
        <f>IFERROR(+'8'!BD36/'8'!BD28,0)</f>
        <v>0</v>
      </c>
      <c r="BE23" s="86">
        <f>IFERROR(+'8'!BE36/'8'!BE28,0)</f>
        <v>0</v>
      </c>
      <c r="BF23" s="86">
        <f>IFERROR(+'8'!BF36/'8'!BF28,0)</f>
        <v>4.871437321851034E-2</v>
      </c>
      <c r="BG23" s="86">
        <f>IFERROR(+'8'!BG36/'8'!BG28,0)</f>
        <v>9.9854135475351033E-2</v>
      </c>
      <c r="BH23" s="86">
        <f>IFERROR(+'8'!BH36/'8'!BH28,0)</f>
        <v>3.9870973847466809E-2</v>
      </c>
      <c r="BI23" s="86">
        <f>IFERROR(+'8'!BI36/'8'!BI28,0)</f>
        <v>2.7637327257681771E-2</v>
      </c>
      <c r="BJ23" s="86">
        <f>IFERROR(+'8'!BJ36/'8'!BJ28,0)</f>
        <v>2.5517778750918076E-2</v>
      </c>
      <c r="BK23" s="86">
        <f>IFERROR(+'8'!BK36/'8'!BK28,0)</f>
        <v>1.6555198028715825E-2</v>
      </c>
      <c r="BL23" s="86">
        <f>IFERROR(+'8'!BL36/'8'!BL28,0)</f>
        <v>3.2262801284546387E-2</v>
      </c>
      <c r="BM23" s="86">
        <f>IFERROR(+'8'!BM36/'8'!BM28,0)</f>
        <v>3.6108293653985678E-2</v>
      </c>
      <c r="BN23" s="86">
        <f>IFERROR(+'8'!BN36/'8'!BN28,0)</f>
        <v>7.6041412360708924E-2</v>
      </c>
      <c r="BO23" s="86">
        <f>IFERROR(+'8'!BO36/'8'!BO28,0)</f>
        <v>7.2401183074202138E-2</v>
      </c>
      <c r="BP23" s="86">
        <f>IFERROR(+'8'!BP36/'8'!BP28,0)</f>
        <v>3.0484624846248462E-2</v>
      </c>
      <c r="BQ23" s="86">
        <f>IFERROR(+'8'!BQ36/'8'!BQ28,0)</f>
        <v>3.7483785698295927E-2</v>
      </c>
      <c r="BR23" s="86">
        <f>IFERROR(+'8'!BR36/'8'!BR28,0)</f>
        <v>-4.5667755335312941E-2</v>
      </c>
      <c r="BS23" s="86">
        <f>IFERROR(+'8'!BS36/'8'!BS28,0)</f>
        <v>-0.15941030231843714</v>
      </c>
      <c r="BT23" s="86">
        <f>IFERROR(+'8'!BT36/'8'!BT28,0)</f>
        <v>0.34172045482911989</v>
      </c>
      <c r="BU23" s="86">
        <f>IFERROR(+'8'!BU36/'8'!BU28,0)</f>
        <v>-0.41392845668550649</v>
      </c>
      <c r="BV23" s="86">
        <f>IFERROR(+'8'!BV36/'8'!BV28,0)</f>
        <v>8.1388859675047207E-2</v>
      </c>
      <c r="BW23" s="86">
        <f>IFERROR(+'8'!BW36/'8'!BW28,0)</f>
        <v>1.4167726820925472E-2</v>
      </c>
      <c r="BX23" s="86">
        <f>IFERROR(+'8'!BX36/'8'!BX28,0)</f>
        <v>-0.86277793567735028</v>
      </c>
      <c r="BY23" s="86">
        <f>IFERROR(+'8'!BY36/'8'!BY28,0)</f>
        <v>-1.6037114164753518E-2</v>
      </c>
      <c r="BZ23" s="86">
        <f>IFERROR(+'8'!BZ36/'8'!BZ28,0)</f>
        <v>0</v>
      </c>
      <c r="CA23" s="86">
        <f>IFERROR(+'8'!CA36/'8'!CA28,0)</f>
        <v>6.8704346348921294E-2</v>
      </c>
      <c r="CB23" s="86">
        <f>IFERROR(+'8'!CB36/'8'!CB28,0)</f>
        <v>-0.11893608792707426</v>
      </c>
      <c r="CC23" s="86">
        <f>IFERROR(+'8'!CC36/'8'!CC28,0)</f>
        <v>-0.27816909781233007</v>
      </c>
    </row>
    <row r="24" spans="1:81" s="31" customFormat="1" ht="21.75" customHeight="1" x14ac:dyDescent="0.2">
      <c r="A24" s="99" t="s">
        <v>89</v>
      </c>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row>
    <row r="25" spans="1:81" s="33" customFormat="1" ht="21.75" customHeight="1" x14ac:dyDescent="0.2">
      <c r="A25" s="103" t="s">
        <v>90</v>
      </c>
      <c r="B25" s="88">
        <f>'8'!B8-'8'!B12</f>
        <v>78736912880.679993</v>
      </c>
      <c r="C25" s="88">
        <f>'8'!C8-'8'!C12</f>
        <v>112541805112.92999</v>
      </c>
      <c r="D25" s="88">
        <f>'8'!D8-'8'!D12</f>
        <v>76213</v>
      </c>
      <c r="E25" s="93">
        <f>'8'!E8-'8'!E12</f>
        <v>-640069</v>
      </c>
      <c r="F25" s="88">
        <f>'8'!F8-'8'!F12</f>
        <v>365865</v>
      </c>
      <c r="G25" s="93">
        <f>'8'!G8-'8'!G12</f>
        <v>80658</v>
      </c>
      <c r="H25" s="93">
        <f>'8'!H8-'8'!H12</f>
        <v>-352102568</v>
      </c>
      <c r="I25" s="93">
        <f>'8'!I8-'8'!I12</f>
        <v>-275415406</v>
      </c>
      <c r="J25" s="93">
        <f>'8'!J8-'8'!J12</f>
        <v>994316336</v>
      </c>
      <c r="K25" s="93">
        <f>'8'!K8-'8'!K12</f>
        <v>1012305368</v>
      </c>
      <c r="L25" s="93">
        <f>'8'!L8-'8'!L12</f>
        <v>-11627316</v>
      </c>
      <c r="M25" s="93">
        <f>'8'!M8-'8'!M12</f>
        <v>-11627316</v>
      </c>
      <c r="N25" s="93">
        <f>'8'!N8-'8'!N12</f>
        <v>-12728000</v>
      </c>
      <c r="O25" s="93">
        <f>'8'!O8-'8'!O12</f>
        <v>16920000</v>
      </c>
      <c r="P25" s="93">
        <f>'8'!P8-'8'!P12</f>
        <v>0</v>
      </c>
      <c r="Q25" s="93">
        <f>'8'!Q8-'8'!Q12</f>
        <v>0</v>
      </c>
      <c r="R25" s="93">
        <f>'8'!R8-'8'!R12</f>
        <v>588142100</v>
      </c>
      <c r="S25" s="93">
        <f>'8'!S8-'8'!S12</f>
        <v>624366603</v>
      </c>
      <c r="T25" s="93">
        <f>'8'!T8-'8'!T12</f>
        <v>500674500</v>
      </c>
      <c r="U25" s="93">
        <f>'8'!U8-'8'!U12</f>
        <v>510748513</v>
      </c>
      <c r="V25" s="93">
        <f>'8'!V8-'8'!V12</f>
        <v>0</v>
      </c>
      <c r="W25" s="93">
        <f>'8'!W8-'8'!W12</f>
        <v>0</v>
      </c>
      <c r="X25" s="93">
        <f>'8'!X8-'8'!X12</f>
        <v>741916000</v>
      </c>
      <c r="Y25" s="93">
        <f>'8'!Y8-'8'!Y12</f>
        <v>653633923</v>
      </c>
      <c r="Z25" s="93">
        <f>'8'!Z8-'8'!Z12</f>
        <v>742897900</v>
      </c>
      <c r="AA25" s="93">
        <f>'8'!AA8-'8'!AA12</f>
        <v>1680817927</v>
      </c>
      <c r="AB25" s="93">
        <f>'8'!AB8-'8'!AB12</f>
        <v>-181581333</v>
      </c>
      <c r="AC25" s="93">
        <f>'8'!AC8-'8'!AC12</f>
        <v>-129891000</v>
      </c>
      <c r="AD25" s="93">
        <f>'8'!AD8-'8'!AD12</f>
        <v>202859521.21999979</v>
      </c>
      <c r="AE25" s="93">
        <f>'8'!AE8-'8'!AE12</f>
        <v>81699362.160000086</v>
      </c>
      <c r="AF25" s="93">
        <f>'8'!AF8-'8'!AF12</f>
        <v>467744731</v>
      </c>
      <c r="AG25" s="93">
        <f>'8'!AG8-'8'!AG12</f>
        <v>572687652</v>
      </c>
      <c r="AH25" s="93">
        <f>'8'!AH8-'8'!AH12</f>
        <v>1301609716</v>
      </c>
      <c r="AI25" s="93">
        <f>'8'!AI8-'8'!AI12</f>
        <v>1359497026</v>
      </c>
      <c r="AJ25" s="93">
        <f>'8'!AJ8-'8'!AJ12</f>
        <v>988641192</v>
      </c>
      <c r="AK25" s="93">
        <f>'8'!AK8-'8'!AK12</f>
        <v>610439660</v>
      </c>
      <c r="AL25" s="93">
        <f>'8'!AL8-'8'!AL12</f>
        <v>12612680</v>
      </c>
      <c r="AM25" s="93">
        <f>'8'!AM8-'8'!AM12</f>
        <v>11725627</v>
      </c>
      <c r="AN25" s="93">
        <f>'8'!AN8-'8'!AN12</f>
        <v>1426726388</v>
      </c>
      <c r="AO25" s="93">
        <f>'8'!AO8-'8'!AO12</f>
        <v>3825884008</v>
      </c>
      <c r="AP25" s="93">
        <f>'8'!AP8-'8'!AP12</f>
        <v>89481548</v>
      </c>
      <c r="AQ25" s="93">
        <f>'8'!AQ8-'8'!AQ12</f>
        <v>428228809</v>
      </c>
      <c r="AR25" s="93">
        <f>'8'!AR8-'8'!AR12</f>
        <v>2041837</v>
      </c>
      <c r="AS25" s="93">
        <f>'8'!AS8-'8'!AS12</f>
        <v>269877</v>
      </c>
      <c r="AT25" s="93">
        <f>'8'!AT8-'8'!AT12</f>
        <v>30811169450</v>
      </c>
      <c r="AU25" s="93">
        <f>'8'!AU8-'8'!AU12</f>
        <v>46555571448</v>
      </c>
      <c r="AV25" s="93">
        <f>'8'!AV8-'8'!AV12</f>
        <v>0</v>
      </c>
      <c r="AW25" s="93">
        <f>'8'!AW8-'8'!AW12</f>
        <v>0</v>
      </c>
      <c r="AX25" s="93">
        <f>'8'!AX8-'8'!AX12</f>
        <v>0</v>
      </c>
      <c r="AY25" s="93">
        <f>'8'!AY8-'8'!AY12</f>
        <v>0</v>
      </c>
      <c r="AZ25" s="93">
        <f>'8'!AZ8-'8'!AZ12</f>
        <v>534000</v>
      </c>
      <c r="BA25" s="93">
        <f>'8'!BA8-'8'!BA12</f>
        <v>25019000</v>
      </c>
      <c r="BB25" s="93">
        <f>'8'!BB8-'8'!BB12</f>
        <v>1025231113.46</v>
      </c>
      <c r="BC25" s="93">
        <f>'8'!BC8-'8'!BC12</f>
        <v>1184252353.77</v>
      </c>
      <c r="BD25" s="93">
        <f>'8'!BD8-'8'!BD12</f>
        <v>0</v>
      </c>
      <c r="BE25" s="93">
        <f>'8'!BE8-'8'!BE12</f>
        <v>0</v>
      </c>
      <c r="BF25" s="93">
        <f>'8'!BF8-'8'!BF12</f>
        <v>3425520734</v>
      </c>
      <c r="BG25" s="93">
        <f>'8'!BG8-'8'!BG12</f>
        <v>3234046728</v>
      </c>
      <c r="BH25" s="93">
        <f>'8'!BH8-'8'!BH12</f>
        <v>483259204</v>
      </c>
      <c r="BI25" s="93">
        <f>'8'!BI8-'8'!BI12</f>
        <v>616739415</v>
      </c>
      <c r="BJ25" s="93">
        <f>'8'!BJ8-'8'!BJ12</f>
        <v>303971094</v>
      </c>
      <c r="BK25" s="93">
        <f>'8'!BK8-'8'!BK12</f>
        <v>363102139</v>
      </c>
      <c r="BL25" s="93">
        <f>'8'!BL8-'8'!BL12</f>
        <v>1169191514</v>
      </c>
      <c r="BM25" s="93">
        <f>'8'!BM8-'8'!BM12</f>
        <v>1435243259</v>
      </c>
      <c r="BN25" s="93">
        <f>'8'!BN8-'8'!BN12</f>
        <v>9997262180</v>
      </c>
      <c r="BO25" s="93">
        <f>'8'!BO8-'8'!BO12</f>
        <v>13484376215</v>
      </c>
      <c r="BP25" s="93">
        <f>'8'!BP8-'8'!BP12</f>
        <v>25363</v>
      </c>
      <c r="BQ25" s="93">
        <f>'8'!BQ8-'8'!BQ12</f>
        <v>-91518</v>
      </c>
      <c r="BR25" s="93">
        <f>'8'!BR8-'8'!BR12</f>
        <v>8444222</v>
      </c>
      <c r="BS25" s="93">
        <f>'8'!BS8-'8'!BS12</f>
        <v>-3571953</v>
      </c>
      <c r="BT25" s="93">
        <f>'8'!BT8-'8'!BT12</f>
        <v>139394795</v>
      </c>
      <c r="BU25" s="93">
        <f>'8'!BU8-'8'!BU12</f>
        <v>565151991</v>
      </c>
      <c r="BV25" s="93">
        <f>'8'!BV8-'8'!BV12</f>
        <v>580529602</v>
      </c>
      <c r="BW25" s="93">
        <f>'8'!BW8-'8'!BW12</f>
        <v>584992556</v>
      </c>
      <c r="BX25" s="93">
        <f>'8'!BX8-'8'!BX12</f>
        <v>55431000</v>
      </c>
      <c r="BY25" s="93">
        <f>'8'!BY8-'8'!BY12</f>
        <v>947609274</v>
      </c>
      <c r="BZ25" s="93">
        <f>'8'!BZ8-'8'!BZ12</f>
        <v>280432000</v>
      </c>
      <c r="CA25" s="93">
        <f>'8'!CA8-'8'!CA12</f>
        <v>308742482</v>
      </c>
      <c r="CB25" s="93">
        <f>'8'!CB8-'8'!CB12</f>
        <v>22954449299</v>
      </c>
      <c r="CC25" s="93">
        <f>'8'!CC8-'8'!CC12</f>
        <v>32268890501</v>
      </c>
    </row>
    <row r="26" spans="1:81" ht="13.5" customHeight="1" x14ac:dyDescent="0.2">
      <c r="A26" s="8" t="s">
        <v>180</v>
      </c>
    </row>
    <row r="28" spans="1:81" ht="13.5" customHeight="1" x14ac:dyDescent="0.2">
      <c r="A28" s="98"/>
    </row>
    <row r="29" spans="1:81" x14ac:dyDescent="0.2">
      <c r="A29" s="30"/>
    </row>
  </sheetData>
  <mergeCells count="42">
    <mergeCell ref="P4:Q4"/>
    <mergeCell ref="AB4:AC4"/>
    <mergeCell ref="J4:K4"/>
    <mergeCell ref="L4:M4"/>
    <mergeCell ref="N4:O4"/>
    <mergeCell ref="V4:W4"/>
    <mergeCell ref="X4:Y4"/>
    <mergeCell ref="Z4:AA4"/>
    <mergeCell ref="A4:A5"/>
    <mergeCell ref="B4:C4"/>
    <mergeCell ref="D4:E4"/>
    <mergeCell ref="F4:G4"/>
    <mergeCell ref="H4:I4"/>
    <mergeCell ref="AD4:AE4"/>
    <mergeCell ref="AF4:AG4"/>
    <mergeCell ref="BF4:BG4"/>
    <mergeCell ref="BD4:BE4"/>
    <mergeCell ref="AX4:AY4"/>
    <mergeCell ref="AP4:AQ4"/>
    <mergeCell ref="BB4:BC4"/>
    <mergeCell ref="AV4:AW4"/>
    <mergeCell ref="AT4:AU4"/>
    <mergeCell ref="AR4:AS4"/>
    <mergeCell ref="AJ4:AK4"/>
    <mergeCell ref="AN4:AO4"/>
    <mergeCell ref="AL4:AM4"/>
    <mergeCell ref="BX4:BY4"/>
    <mergeCell ref="BN4:BO4"/>
    <mergeCell ref="BJ4:BK4"/>
    <mergeCell ref="A2:CC2"/>
    <mergeCell ref="BR4:BS4"/>
    <mergeCell ref="AZ4:BA4"/>
    <mergeCell ref="BH4:BI4"/>
    <mergeCell ref="CB4:CC4"/>
    <mergeCell ref="R4:S4"/>
    <mergeCell ref="BL4:BM4"/>
    <mergeCell ref="AH4:AI4"/>
    <mergeCell ref="BP4:BQ4"/>
    <mergeCell ref="T4:U4"/>
    <mergeCell ref="BZ4:CA4"/>
    <mergeCell ref="BT4:BU4"/>
    <mergeCell ref="BV4:BW4"/>
  </mergeCells>
  <phoneticPr fontId="0" type="noConversion"/>
  <pageMargins left="1.1100000000000001" right="0.41" top="1.3779527559055118" bottom="0.59055118110236227" header="0" footer="0"/>
  <pageSetup paperSize="45" scale="85" orientation="landscape" horizont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FO336"/>
  <sheetViews>
    <sheetView zoomScaleNormal="100" zoomScaleSheetLayoutView="110" workbookViewId="0"/>
  </sheetViews>
  <sheetFormatPr baseColWidth="10" defaultColWidth="11.42578125" defaultRowHeight="12" x14ac:dyDescent="0.2"/>
  <cols>
    <col min="1" max="1" width="52.7109375" style="2" customWidth="1"/>
    <col min="2" max="7" width="22.28515625" style="2" customWidth="1"/>
    <col min="8" max="171" width="11.42578125" style="17"/>
    <col min="172" max="16384" width="11.42578125" style="2"/>
  </cols>
  <sheetData>
    <row r="1" spans="1:171" s="17" customFormat="1" ht="21" customHeight="1" x14ac:dyDescent="0.2">
      <c r="A1" s="17" t="s">
        <v>34</v>
      </c>
      <c r="BD1" s="148"/>
      <c r="BE1" s="148"/>
    </row>
    <row r="2" spans="1:171" ht="18.75" customHeight="1" x14ac:dyDescent="0.2">
      <c r="A2" s="321" t="s">
        <v>7</v>
      </c>
      <c r="B2" s="321"/>
      <c r="C2" s="321"/>
      <c r="D2" s="321"/>
      <c r="E2" s="321"/>
      <c r="F2" s="321"/>
      <c r="G2" s="321"/>
      <c r="BD2" s="148"/>
      <c r="BE2" s="148"/>
    </row>
    <row r="3" spans="1:171" s="17" customFormat="1" ht="25.5" customHeight="1" x14ac:dyDescent="0.2">
      <c r="A3" s="17" t="s">
        <v>35</v>
      </c>
      <c r="B3" s="5"/>
      <c r="C3" s="5"/>
      <c r="BD3" s="148"/>
      <c r="BE3" s="148"/>
    </row>
    <row r="4" spans="1:171" s="4" customFormat="1" ht="31.5" customHeight="1" x14ac:dyDescent="0.2">
      <c r="A4" s="178" t="s">
        <v>36</v>
      </c>
      <c r="B4" s="320" t="s">
        <v>30</v>
      </c>
      <c r="C4" s="320"/>
      <c r="D4" s="320" t="s">
        <v>37</v>
      </c>
      <c r="E4" s="320"/>
      <c r="F4" s="329" t="s">
        <v>38</v>
      </c>
      <c r="G4" s="329"/>
      <c r="H4" s="325"/>
      <c r="I4" s="325"/>
      <c r="J4" s="327"/>
      <c r="K4" s="327"/>
      <c r="L4" s="328"/>
      <c r="M4" s="328"/>
      <c r="N4" s="325"/>
      <c r="O4" s="325"/>
      <c r="P4" s="325"/>
      <c r="Q4" s="325"/>
      <c r="R4" s="326"/>
      <c r="S4" s="326"/>
      <c r="T4" s="325"/>
      <c r="U4" s="325"/>
      <c r="V4" s="326"/>
      <c r="W4" s="326"/>
      <c r="X4" s="325"/>
      <c r="Y4" s="325"/>
      <c r="Z4" s="325"/>
      <c r="AA4" s="325"/>
      <c r="AB4" s="325"/>
      <c r="AC4" s="325"/>
      <c r="AD4" s="325"/>
      <c r="AE4" s="325"/>
      <c r="AF4" s="325"/>
      <c r="AG4" s="325"/>
      <c r="AH4" s="325"/>
      <c r="AI4" s="325"/>
      <c r="AJ4" s="325"/>
      <c r="AK4" s="325"/>
      <c r="AL4" s="326"/>
      <c r="AM4" s="326"/>
      <c r="AN4" s="325"/>
      <c r="AO4" s="325"/>
      <c r="AP4" s="326"/>
      <c r="AQ4" s="326"/>
      <c r="AR4" s="325"/>
      <c r="AS4" s="325"/>
      <c r="AT4" s="325"/>
      <c r="AU4" s="325"/>
      <c r="AV4" s="325"/>
      <c r="AW4" s="325"/>
      <c r="AX4" s="324"/>
      <c r="AY4" s="324"/>
      <c r="AZ4" s="324"/>
      <c r="BA4" s="324"/>
      <c r="BB4" s="326"/>
      <c r="BC4" s="326"/>
      <c r="BD4" s="325"/>
      <c r="BE4" s="325"/>
      <c r="BF4" s="324"/>
      <c r="BG4" s="324"/>
      <c r="BH4" s="324"/>
      <c r="BI4" s="324"/>
      <c r="BJ4" s="324"/>
      <c r="BK4" s="324"/>
      <c r="BL4" s="324"/>
      <c r="BM4" s="324"/>
      <c r="BN4" s="324"/>
      <c r="BO4" s="324"/>
      <c r="BP4" s="324"/>
      <c r="BQ4" s="324"/>
      <c r="BR4" s="324"/>
      <c r="BS4" s="324"/>
      <c r="BT4" s="324"/>
      <c r="BU4" s="324"/>
      <c r="BV4" s="324"/>
      <c r="BW4" s="324"/>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c r="EE4" s="80"/>
      <c r="EF4" s="80"/>
      <c r="EG4" s="80"/>
      <c r="EH4" s="80"/>
      <c r="EI4" s="80"/>
      <c r="EJ4" s="80"/>
      <c r="EK4" s="80"/>
      <c r="EL4" s="80"/>
      <c r="EM4" s="80"/>
      <c r="EN4" s="80"/>
      <c r="EO4" s="80"/>
      <c r="EP4" s="80"/>
      <c r="EQ4" s="80"/>
      <c r="ER4" s="80"/>
      <c r="ES4" s="80"/>
      <c r="ET4" s="80"/>
      <c r="EU4" s="80"/>
      <c r="EV4" s="80"/>
      <c r="EW4" s="80"/>
      <c r="EX4" s="80"/>
      <c r="EY4" s="80"/>
      <c r="EZ4" s="80"/>
      <c r="FA4" s="80"/>
      <c r="FB4" s="80"/>
      <c r="FC4" s="80"/>
      <c r="FD4" s="80"/>
      <c r="FE4" s="80"/>
      <c r="FF4" s="80"/>
      <c r="FG4" s="80"/>
      <c r="FH4" s="80"/>
      <c r="FI4" s="80"/>
      <c r="FJ4" s="80"/>
      <c r="FK4" s="80"/>
      <c r="FL4" s="80"/>
      <c r="FM4" s="80"/>
      <c r="FN4" s="80"/>
      <c r="FO4" s="80"/>
    </row>
    <row r="5" spans="1:171" s="4" customFormat="1" x14ac:dyDescent="0.2">
      <c r="A5" s="178"/>
      <c r="B5" s="1">
        <v>2021</v>
      </c>
      <c r="C5" s="1">
        <v>2022</v>
      </c>
      <c r="D5" s="1">
        <v>2021</v>
      </c>
      <c r="E5" s="1">
        <v>2022</v>
      </c>
      <c r="F5" s="1">
        <v>2021</v>
      </c>
      <c r="G5" s="1">
        <v>2022</v>
      </c>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row>
    <row r="6" spans="1:171" s="4" customFormat="1" ht="15" customHeight="1" x14ac:dyDescent="0.2">
      <c r="A6" s="11" t="s">
        <v>39</v>
      </c>
      <c r="B6" s="25"/>
      <c r="C6" s="25"/>
      <c r="D6" s="25"/>
      <c r="E6" s="25"/>
      <c r="F6" s="25"/>
      <c r="G6" s="25"/>
      <c r="H6" s="25"/>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row>
    <row r="7" spans="1:171" s="4" customFormat="1" ht="15" customHeight="1" x14ac:dyDescent="0.2">
      <c r="A7" s="12" t="s">
        <v>40</v>
      </c>
      <c r="B7" s="26"/>
      <c r="C7" s="26"/>
      <c r="D7" s="25"/>
      <c r="E7" s="25"/>
      <c r="F7" s="25"/>
      <c r="G7" s="25"/>
      <c r="H7" s="25"/>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row>
    <row r="8" spans="1:171" ht="15" customHeight="1" x14ac:dyDescent="0.2">
      <c r="A8" s="10" t="s">
        <v>41</v>
      </c>
      <c r="B8" s="27" t="e">
        <f>'Empresas Regulares Nacionales'!#REF!</f>
        <v>#REF!</v>
      </c>
      <c r="C8" s="27" t="e">
        <f>'Empresas Regulares Nacionales'!#REF!</f>
        <v>#REF!</v>
      </c>
      <c r="D8" s="25">
        <f>'6'!B8</f>
        <v>105013716962</v>
      </c>
      <c r="E8" s="25">
        <f>'6'!C8</f>
        <v>96505957309</v>
      </c>
      <c r="F8" s="25">
        <f>+'8'!B8</f>
        <v>280202606648.25</v>
      </c>
      <c r="G8" s="25">
        <f>+'8'!C8</f>
        <v>368442599912.88</v>
      </c>
      <c r="H8" s="2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row>
    <row r="9" spans="1:171" ht="15" customHeight="1" x14ac:dyDescent="0.2">
      <c r="A9" s="10" t="s">
        <v>42</v>
      </c>
      <c r="B9" s="27" t="e">
        <f>'Empresas Regulares Nacionales'!#REF!</f>
        <v>#REF!</v>
      </c>
      <c r="C9" s="27" t="e">
        <f>'Empresas Regulares Nacionales'!#REF!</f>
        <v>#REF!</v>
      </c>
      <c r="D9" s="25">
        <f>'6'!B9</f>
        <v>104900874077</v>
      </c>
      <c r="E9" s="25">
        <f>'6'!C9</f>
        <v>112739789819</v>
      </c>
      <c r="F9" s="25">
        <f>+'8'!B9</f>
        <v>372402579204.65002</v>
      </c>
      <c r="G9" s="25">
        <f>+'8'!C9</f>
        <v>336184087359.95001</v>
      </c>
      <c r="H9" s="2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row>
    <row r="10" spans="1:171" ht="15" customHeight="1" x14ac:dyDescent="0.2">
      <c r="A10" s="6" t="s">
        <v>43</v>
      </c>
      <c r="B10" s="197" t="e">
        <f t="shared" ref="B10:G10" si="0">+B8+B9</f>
        <v>#REF!</v>
      </c>
      <c r="C10" s="197" t="e">
        <f t="shared" si="0"/>
        <v>#REF!</v>
      </c>
      <c r="D10" s="197">
        <f t="shared" si="0"/>
        <v>209914591039</v>
      </c>
      <c r="E10" s="197">
        <f t="shared" si="0"/>
        <v>209245747128</v>
      </c>
      <c r="F10" s="197">
        <f t="shared" si="0"/>
        <v>652605185852.90002</v>
      </c>
      <c r="G10" s="197">
        <f t="shared" si="0"/>
        <v>704626687272.83008</v>
      </c>
      <c r="H10" s="2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row>
    <row r="11" spans="1:171" s="4" customFormat="1" ht="15" customHeight="1" x14ac:dyDescent="0.2">
      <c r="A11" s="12" t="s">
        <v>44</v>
      </c>
      <c r="B11" s="27"/>
      <c r="C11" s="27"/>
      <c r="D11" s="25">
        <f>'6'!B11</f>
        <v>0</v>
      </c>
      <c r="E11" s="25">
        <f>'6'!C11</f>
        <v>0</v>
      </c>
      <c r="F11" s="25">
        <f>+'8'!B11</f>
        <v>0</v>
      </c>
      <c r="G11" s="25">
        <f>+'8'!C11</f>
        <v>0</v>
      </c>
      <c r="H11" s="25"/>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row>
    <row r="12" spans="1:171" ht="15" customHeight="1" x14ac:dyDescent="0.2">
      <c r="A12" s="10" t="s">
        <v>45</v>
      </c>
      <c r="B12" s="27" t="e">
        <f>'Empresas Regulares Nacionales'!#REF!</f>
        <v>#REF!</v>
      </c>
      <c r="C12" s="27" t="e">
        <f>'Empresas Regulares Nacionales'!#REF!</f>
        <v>#REF!</v>
      </c>
      <c r="D12" s="25">
        <f>'6'!B12</f>
        <v>91609771670</v>
      </c>
      <c r="E12" s="25">
        <f>'6'!C12</f>
        <v>101982188592</v>
      </c>
      <c r="F12" s="25">
        <f>+'8'!B12</f>
        <v>201465693767.57001</v>
      </c>
      <c r="G12" s="25">
        <f>+'8'!C12</f>
        <v>255900794799.95001</v>
      </c>
      <c r="H12" s="25"/>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row>
    <row r="13" spans="1:171" ht="15" customHeight="1" x14ac:dyDescent="0.2">
      <c r="A13" s="13" t="s">
        <v>46</v>
      </c>
      <c r="B13" s="27" t="e">
        <f>'Empresas Regulares Nacionales'!#REF!</f>
        <v>#REF!</v>
      </c>
      <c r="C13" s="27" t="e">
        <f>'Empresas Regulares Nacionales'!#REF!</f>
        <v>#REF!</v>
      </c>
      <c r="D13" s="25">
        <f>'6'!B13</f>
        <v>38937647783</v>
      </c>
      <c r="E13" s="25">
        <f>'6'!C13</f>
        <v>48068194531</v>
      </c>
      <c r="F13" s="25">
        <f>+'8'!B13</f>
        <v>246124981566.29001</v>
      </c>
      <c r="G13" s="25">
        <f>+'8'!C13</f>
        <v>245227629222</v>
      </c>
      <c r="H13" s="2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row>
    <row r="14" spans="1:171" ht="15" customHeight="1" x14ac:dyDescent="0.2">
      <c r="A14" s="6" t="s">
        <v>47</v>
      </c>
      <c r="B14" s="197" t="e">
        <f t="shared" ref="B14:G14" si="1">+B12+B13</f>
        <v>#REF!</v>
      </c>
      <c r="C14" s="197" t="e">
        <f t="shared" si="1"/>
        <v>#REF!</v>
      </c>
      <c r="D14" s="197">
        <f t="shared" si="1"/>
        <v>130547419453</v>
      </c>
      <c r="E14" s="197">
        <f t="shared" si="1"/>
        <v>150050383123</v>
      </c>
      <c r="F14" s="197">
        <f t="shared" si="1"/>
        <v>447590675333.85999</v>
      </c>
      <c r="G14" s="197">
        <f t="shared" si="1"/>
        <v>501128424021.95001</v>
      </c>
      <c r="H14" s="2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row>
    <row r="15" spans="1:171" ht="15" customHeight="1" x14ac:dyDescent="0.2">
      <c r="A15" s="12" t="s">
        <v>48</v>
      </c>
      <c r="B15" s="27"/>
      <c r="C15" s="27"/>
      <c r="D15" s="25">
        <f>'6'!B15</f>
        <v>0</v>
      </c>
      <c r="E15" s="25">
        <f>'6'!C15</f>
        <v>0</v>
      </c>
      <c r="F15" s="25">
        <f>+'8'!B15</f>
        <v>0</v>
      </c>
      <c r="G15" s="25">
        <f>+'8'!C15</f>
        <v>0</v>
      </c>
      <c r="H15" s="2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row>
    <row r="16" spans="1:171" s="4" customFormat="1" ht="15" customHeight="1" x14ac:dyDescent="0.2">
      <c r="A16" s="10" t="s">
        <v>49</v>
      </c>
      <c r="B16" s="27" t="e">
        <f>'Empresas Regulares Nacionales'!#REF!</f>
        <v>#REF!</v>
      </c>
      <c r="C16" s="27" t="e">
        <f>'Empresas Regulares Nacionales'!#REF!</f>
        <v>#REF!</v>
      </c>
      <c r="D16" s="25">
        <f>'6'!B16</f>
        <v>21636311086</v>
      </c>
      <c r="E16" s="25">
        <f>'6'!C16</f>
        <v>21636311086</v>
      </c>
      <c r="F16" s="25">
        <f>+'8'!B16</f>
        <v>85061828796</v>
      </c>
      <c r="G16" s="25">
        <f>+'8'!C16</f>
        <v>65400344764</v>
      </c>
      <c r="H16" s="25"/>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row>
    <row r="17" spans="1:171" ht="15" customHeight="1" x14ac:dyDescent="0.2">
      <c r="A17" s="10" t="s">
        <v>50</v>
      </c>
      <c r="B17" s="27" t="e">
        <f>'Empresas Regulares Nacionales'!#REF!</f>
        <v>#REF!</v>
      </c>
      <c r="C17" s="27" t="e">
        <f>'Empresas Regulares Nacionales'!#REF!</f>
        <v>#REF!</v>
      </c>
      <c r="D17" s="25">
        <f>'6'!B17</f>
        <v>11631093562</v>
      </c>
      <c r="E17" s="25">
        <f>'6'!C17</f>
        <v>12315871144</v>
      </c>
      <c r="F17" s="25">
        <f>+'8'!B17</f>
        <v>3240801364.8899999</v>
      </c>
      <c r="G17" s="25">
        <f>+'8'!C17</f>
        <v>3801675468.8899999</v>
      </c>
      <c r="H17" s="25"/>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row>
    <row r="18" spans="1:171" ht="15" customHeight="1" x14ac:dyDescent="0.2">
      <c r="A18" s="10" t="s">
        <v>51</v>
      </c>
      <c r="B18" s="27" t="e">
        <f>'Empresas Regulares Nacionales'!#REF!</f>
        <v>#REF!</v>
      </c>
      <c r="C18" s="27" t="e">
        <f>'Empresas Regulares Nacionales'!#REF!</f>
        <v>#REF!</v>
      </c>
      <c r="D18" s="25">
        <f>'6'!B18</f>
        <v>444310567</v>
      </c>
      <c r="E18" s="25">
        <f>'6'!C18</f>
        <v>739148520</v>
      </c>
      <c r="F18" s="25">
        <f>+'8'!B18</f>
        <v>282169957</v>
      </c>
      <c r="G18" s="25">
        <f>+'8'!C18</f>
        <v>4014549216</v>
      </c>
      <c r="H18" s="2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row>
    <row r="19" spans="1:171" s="4" customFormat="1" ht="15" customHeight="1" x14ac:dyDescent="0.2">
      <c r="A19" s="10" t="s">
        <v>52</v>
      </c>
      <c r="B19" s="27" t="e">
        <f>'Empresas Regulares Nacionales'!#REF!</f>
        <v>#REF!</v>
      </c>
      <c r="C19" s="27" t="e">
        <f>'Empresas Regulares Nacionales'!#REF!</f>
        <v>#REF!</v>
      </c>
      <c r="D19" s="25">
        <f>'6'!B19</f>
        <v>8713829770</v>
      </c>
      <c r="E19" s="25">
        <f>'6'!C19</f>
        <v>8713829770</v>
      </c>
      <c r="F19" s="25">
        <f>+'8'!B19</f>
        <v>3017697036</v>
      </c>
      <c r="G19" s="25">
        <f>+'8'!C19</f>
        <v>5017697036</v>
      </c>
      <c r="H19" s="25"/>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row>
    <row r="20" spans="1:171" ht="15" customHeight="1" x14ac:dyDescent="0.2">
      <c r="A20" s="10" t="s">
        <v>53</v>
      </c>
      <c r="B20" s="27" t="e">
        <f>'Empresas Regulares Nacionales'!#REF!</f>
        <v>#REF!</v>
      </c>
      <c r="C20" s="27" t="e">
        <f>'Empresas Regulares Nacionales'!#REF!</f>
        <v>#REF!</v>
      </c>
      <c r="D20" s="25">
        <f>'6'!B20</f>
        <v>77906</v>
      </c>
      <c r="E20" s="25">
        <f>'6'!C20</f>
        <v>77906</v>
      </c>
      <c r="F20" s="25">
        <f>+'8'!B20</f>
        <v>1926753582.5999999</v>
      </c>
      <c r="G20" s="25">
        <f>+'8'!C20</f>
        <v>-72607856.400000095</v>
      </c>
      <c r="H20" s="2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row>
    <row r="21" spans="1:171" ht="15" customHeight="1" x14ac:dyDescent="0.2">
      <c r="A21" s="10" t="s">
        <v>54</v>
      </c>
      <c r="B21" s="25" t="e">
        <f>'Empresas Regulares Nacionales'!#REF!</f>
        <v>#REF!</v>
      </c>
      <c r="C21" s="25" t="e">
        <f>'Empresas Regulares Nacionales'!#REF!</f>
        <v>#REF!</v>
      </c>
      <c r="D21" s="25">
        <f>'6'!B21</f>
        <v>2183101802</v>
      </c>
      <c r="E21" s="25">
        <f>'6'!C21</f>
        <v>-19897476039</v>
      </c>
      <c r="F21" s="25">
        <f>+'8'!B21</f>
        <v>16187606561.499998</v>
      </c>
      <c r="G21" s="25">
        <f>+'8'!C21</f>
        <v>16865884751.760002</v>
      </c>
      <c r="H21" s="2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row>
    <row r="22" spans="1:171" s="4" customFormat="1" ht="15" customHeight="1" x14ac:dyDescent="0.2">
      <c r="A22" s="10" t="s">
        <v>55</v>
      </c>
      <c r="B22" s="25" t="e">
        <f>'Empresas Regulares Nacionales'!#REF!</f>
        <v>#REF!</v>
      </c>
      <c r="C22" s="25" t="e">
        <f>'Empresas Regulares Nacionales'!#REF!</f>
        <v>#REF!</v>
      </c>
      <c r="D22" s="25">
        <f>'6'!B22</f>
        <v>34229964251</v>
      </c>
      <c r="E22" s="25">
        <f>'6'!C22</f>
        <v>35165367900</v>
      </c>
      <c r="F22" s="25">
        <f>+'8'!B22</f>
        <v>59262208835.600006</v>
      </c>
      <c r="G22" s="25">
        <f>+'8'!C22</f>
        <v>71338593498.180008</v>
      </c>
      <c r="H22" s="25"/>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row>
    <row r="23" spans="1:171" s="4" customFormat="1" ht="15" customHeight="1" x14ac:dyDescent="0.2">
      <c r="A23" s="10" t="s">
        <v>56</v>
      </c>
      <c r="B23" s="25" t="e">
        <f>'Empresas Regulares Nacionales'!#REF!</f>
        <v>#REF!</v>
      </c>
      <c r="C23" s="25" t="e">
        <f>'Empresas Regulares Nacionales'!#REF!</f>
        <v>#REF!</v>
      </c>
      <c r="D23" s="25">
        <f>'6'!B23</f>
        <v>352596044</v>
      </c>
      <c r="E23" s="25">
        <f>'6'!C23</f>
        <v>352596044</v>
      </c>
      <c r="F23" s="25">
        <f>+'8'!B23</f>
        <v>-3157081338</v>
      </c>
      <c r="G23" s="25">
        <f>+'8'!C23</f>
        <v>-2661186199</v>
      </c>
      <c r="H23" s="25"/>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row>
    <row r="24" spans="1:171" ht="15" customHeight="1" x14ac:dyDescent="0.2">
      <c r="A24" s="10" t="s">
        <v>57</v>
      </c>
      <c r="B24" s="25" t="e">
        <f>'Empresas Regulares Nacionales'!#REF!</f>
        <v>#REF!</v>
      </c>
      <c r="C24" s="25" t="e">
        <f>'Empresas Regulares Nacionales'!#REF!</f>
        <v>#REF!</v>
      </c>
      <c r="D24" s="25">
        <f>'6'!B24</f>
        <v>212700000</v>
      </c>
      <c r="E24" s="25">
        <f>'6'!C24</f>
        <v>212700000</v>
      </c>
      <c r="F24" s="25">
        <f>+'8'!B24</f>
        <v>36791095936.449997</v>
      </c>
      <c r="G24" s="25">
        <f>+'8'!C24</f>
        <v>37377208936.449997</v>
      </c>
      <c r="H24" s="2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row>
    <row r="25" spans="1:171" ht="15" customHeight="1" x14ac:dyDescent="0.2">
      <c r="A25" s="10" t="s">
        <v>58</v>
      </c>
      <c r="B25" s="109" t="e">
        <f>'Empresas Regulares Nacionales'!#REF!</f>
        <v>#REF!</v>
      </c>
      <c r="C25" s="109" t="e">
        <f>'Empresas Regulares Nacionales'!#REF!</f>
        <v>#REF!</v>
      </c>
      <c r="D25" s="25">
        <f>'6'!B25</f>
        <v>-36813402</v>
      </c>
      <c r="E25" s="25">
        <f>'6'!C25</f>
        <v>-43062326</v>
      </c>
      <c r="F25" s="25">
        <f>+'8'!B25</f>
        <v>2401429787</v>
      </c>
      <c r="G25" s="25">
        <f>+'8'!C25</f>
        <v>2416103635</v>
      </c>
      <c r="H25" s="25"/>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row>
    <row r="26" spans="1:171" ht="12.75" customHeight="1" x14ac:dyDescent="0.2">
      <c r="A26" s="6" t="s">
        <v>59</v>
      </c>
      <c r="B26" s="81" t="e">
        <f t="shared" ref="B26:G26" si="2">SUM(B16:B25)</f>
        <v>#REF!</v>
      </c>
      <c r="C26" s="81" t="e">
        <f t="shared" si="2"/>
        <v>#REF!</v>
      </c>
      <c r="D26" s="198">
        <f t="shared" si="2"/>
        <v>79367171586</v>
      </c>
      <c r="E26" s="198">
        <f t="shared" si="2"/>
        <v>59195364005</v>
      </c>
      <c r="F26" s="198">
        <f t="shared" si="2"/>
        <v>205014510519.04004</v>
      </c>
      <c r="G26" s="198">
        <f t="shared" si="2"/>
        <v>203498263250.88</v>
      </c>
      <c r="H26" s="25"/>
    </row>
    <row r="27" spans="1:171" ht="12.75" customHeight="1" x14ac:dyDescent="0.2">
      <c r="A27" s="6" t="s">
        <v>60</v>
      </c>
      <c r="B27" s="198" t="e">
        <f t="shared" ref="B27:G27" si="3">+B26+B14</f>
        <v>#REF!</v>
      </c>
      <c r="C27" s="198" t="e">
        <f t="shared" si="3"/>
        <v>#REF!</v>
      </c>
      <c r="D27" s="198">
        <f t="shared" si="3"/>
        <v>209914591039</v>
      </c>
      <c r="E27" s="198">
        <f t="shared" si="3"/>
        <v>209245747128</v>
      </c>
      <c r="F27" s="198">
        <f t="shared" si="3"/>
        <v>652605185852.90002</v>
      </c>
      <c r="G27" s="198">
        <f t="shared" si="3"/>
        <v>704626687272.83008</v>
      </c>
      <c r="H27" s="25"/>
    </row>
    <row r="28" spans="1:171" ht="12.75" customHeight="1" x14ac:dyDescent="0.2">
      <c r="A28" s="13" t="s">
        <v>61</v>
      </c>
      <c r="B28" s="27" t="e">
        <f>'Empresas Regulares Nacionales'!#REF!</f>
        <v>#REF!</v>
      </c>
      <c r="C28" s="27" t="e">
        <f>'Empresas Regulares Nacionales'!#REF!</f>
        <v>#REF!</v>
      </c>
      <c r="D28" s="25">
        <f>'6'!B28</f>
        <v>396520794719</v>
      </c>
      <c r="E28" s="25">
        <f>'6'!C28</f>
        <v>467860490015</v>
      </c>
      <c r="F28" s="25">
        <f>+'8'!B28</f>
        <v>299815674664.67004</v>
      </c>
      <c r="G28" s="25">
        <f>+'8'!C28</f>
        <v>439015049043</v>
      </c>
      <c r="H28" s="25"/>
    </row>
    <row r="29" spans="1:171" ht="12.75" customHeight="1" x14ac:dyDescent="0.2">
      <c r="A29" s="13" t="s">
        <v>62</v>
      </c>
      <c r="B29" s="27" t="e">
        <f>'Empresas Regulares Nacionales'!#REF!</f>
        <v>#REF!</v>
      </c>
      <c r="C29" s="27" t="e">
        <f>'Empresas Regulares Nacionales'!#REF!</f>
        <v>#REF!</v>
      </c>
      <c r="D29" s="25">
        <f>'6'!B29</f>
        <v>365396724203</v>
      </c>
      <c r="E29" s="25">
        <f>'6'!C29</f>
        <v>454713488740</v>
      </c>
      <c r="F29" s="25">
        <f>+'8'!B29</f>
        <v>250368507940</v>
      </c>
      <c r="G29" s="25">
        <f>+'8'!C29</f>
        <v>352154237157</v>
      </c>
      <c r="H29" s="25"/>
    </row>
    <row r="30" spans="1:171" ht="12.75" customHeight="1" x14ac:dyDescent="0.2">
      <c r="A30" s="10" t="s">
        <v>63</v>
      </c>
      <c r="B30" s="27" t="e">
        <f>'Empresas Regulares Nacionales'!#REF!</f>
        <v>#REF!</v>
      </c>
      <c r="C30" s="27" t="e">
        <f>'Empresas Regulares Nacionales'!#REF!</f>
        <v>#REF!</v>
      </c>
      <c r="D30" s="25">
        <f>'6'!B30</f>
        <v>23645509476</v>
      </c>
      <c r="E30" s="25">
        <f>'6'!C30</f>
        <v>27800129833</v>
      </c>
      <c r="F30" s="25">
        <f>+'8'!B30</f>
        <v>24133083598.59</v>
      </c>
      <c r="G30" s="25">
        <f>+'8'!C30</f>
        <v>45636988761.419998</v>
      </c>
      <c r="H30" s="25"/>
    </row>
    <row r="31" spans="1:171" ht="12.75" customHeight="1" x14ac:dyDescent="0.2">
      <c r="A31" s="6" t="s">
        <v>64</v>
      </c>
      <c r="B31" s="81" t="e">
        <f t="shared" ref="B31:G31" si="4">+B28-B29-B30</f>
        <v>#REF!</v>
      </c>
      <c r="C31" s="81" t="e">
        <f t="shared" si="4"/>
        <v>#REF!</v>
      </c>
      <c r="D31" s="28">
        <f t="shared" si="4"/>
        <v>7478561040</v>
      </c>
      <c r="E31" s="81">
        <f t="shared" si="4"/>
        <v>-14653128558</v>
      </c>
      <c r="F31" s="28">
        <f t="shared" si="4"/>
        <v>25314083126.080044</v>
      </c>
      <c r="G31" s="28">
        <f t="shared" si="4"/>
        <v>41223823124.580002</v>
      </c>
      <c r="H31" s="25"/>
    </row>
    <row r="32" spans="1:171" ht="12.75" customHeight="1" x14ac:dyDescent="0.2">
      <c r="A32" s="10" t="s">
        <v>65</v>
      </c>
      <c r="B32" s="27" t="e">
        <f>'Empresas Regulares Nacionales'!#REF!</f>
        <v>#REF!</v>
      </c>
      <c r="C32" s="27" t="e">
        <f>'Empresas Regulares Nacionales'!#REF!</f>
        <v>#REF!</v>
      </c>
      <c r="D32" s="25">
        <f>'6'!B32</f>
        <v>6180059803</v>
      </c>
      <c r="E32" s="25">
        <f>'6'!C32</f>
        <v>16180728613</v>
      </c>
      <c r="F32" s="25">
        <f>+'8'!B32</f>
        <v>31767201837.419998</v>
      </c>
      <c r="G32" s="25">
        <f>+'8'!C32</f>
        <v>10712532493.73</v>
      </c>
      <c r="H32" s="25"/>
    </row>
    <row r="33" spans="1:7" ht="12.75" customHeight="1" x14ac:dyDescent="0.2">
      <c r="A33" s="10" t="s">
        <v>66</v>
      </c>
      <c r="B33" s="27" t="e">
        <f>'Empresas Regulares Nacionales'!#REF!</f>
        <v>#REF!</v>
      </c>
      <c r="C33" s="27" t="e">
        <f>'Empresas Regulares Nacionales'!#REF!</f>
        <v>#REF!</v>
      </c>
      <c r="D33" s="25">
        <f>'6'!B33</f>
        <v>8593076917</v>
      </c>
      <c r="E33" s="25">
        <f>'6'!C33</f>
        <v>17605248506</v>
      </c>
      <c r="F33" s="25">
        <f>+'8'!B33</f>
        <v>42278176485</v>
      </c>
      <c r="G33" s="25">
        <f>+'8'!C33</f>
        <v>42554366071</v>
      </c>
    </row>
    <row r="34" spans="1:7" ht="12.75" customHeight="1" x14ac:dyDescent="0.2">
      <c r="A34" s="11" t="s">
        <v>67</v>
      </c>
      <c r="B34" s="78" t="e">
        <f t="shared" ref="B34:G34" si="5">+B31+B32-B33</f>
        <v>#REF!</v>
      </c>
      <c r="C34" s="78" t="e">
        <f t="shared" si="5"/>
        <v>#REF!</v>
      </c>
      <c r="D34" s="201">
        <f t="shared" si="5"/>
        <v>5065543926</v>
      </c>
      <c r="E34" s="78">
        <f t="shared" si="5"/>
        <v>-16077648451</v>
      </c>
      <c r="F34" s="202">
        <f t="shared" si="5"/>
        <v>14803108478.500046</v>
      </c>
      <c r="G34" s="202">
        <f t="shared" si="5"/>
        <v>9381989547.3099976</v>
      </c>
    </row>
    <row r="35" spans="1:7" ht="12.75" customHeight="1" x14ac:dyDescent="0.2">
      <c r="A35" s="10" t="s">
        <v>68</v>
      </c>
      <c r="B35" s="26" t="e">
        <f>'Empresas Regulares Nacionales'!#REF!</f>
        <v>#REF!</v>
      </c>
      <c r="C35" s="109" t="e">
        <f>'Empresas Regulares Nacionales'!#REF!</f>
        <v>#REF!</v>
      </c>
      <c r="D35" s="109">
        <f>'6'!B35</f>
        <v>-2534704093</v>
      </c>
      <c r="E35" s="109">
        <f>'6'!C35</f>
        <v>-2686984964</v>
      </c>
      <c r="F35" s="25">
        <f>+'8'!B35</f>
        <v>3884554442</v>
      </c>
      <c r="G35" s="25">
        <f>+'8'!C35</f>
        <v>9140723983</v>
      </c>
    </row>
    <row r="36" spans="1:7" ht="12.75" customHeight="1" x14ac:dyDescent="0.2">
      <c r="A36" s="6" t="s">
        <v>69</v>
      </c>
      <c r="B36" s="81" t="e">
        <f t="shared" ref="B36:G36" si="6">+B34-B35</f>
        <v>#REF!</v>
      </c>
      <c r="C36" s="81" t="e">
        <f t="shared" si="6"/>
        <v>#REF!</v>
      </c>
      <c r="D36" s="29">
        <f t="shared" si="6"/>
        <v>7600248019</v>
      </c>
      <c r="E36" s="81">
        <f t="shared" si="6"/>
        <v>-13390663487</v>
      </c>
      <c r="F36" s="29">
        <f t="shared" si="6"/>
        <v>10918554036.500046</v>
      </c>
      <c r="G36" s="29">
        <f t="shared" si="6"/>
        <v>241265564.30999756</v>
      </c>
    </row>
    <row r="37" spans="1:7" s="17" customFormat="1" ht="12.75" customHeight="1" x14ac:dyDescent="0.2">
      <c r="A37" s="80"/>
      <c r="B37" s="150"/>
      <c r="C37" s="150"/>
    </row>
    <row r="38" spans="1:7" s="17" customFormat="1" ht="12.75" customHeight="1" x14ac:dyDescent="0.2">
      <c r="A38" s="80"/>
      <c r="B38" s="105" t="e">
        <f t="shared" ref="B38:G38" si="7">+B10-B27</f>
        <v>#REF!</v>
      </c>
      <c r="C38" s="105" t="e">
        <f t="shared" si="7"/>
        <v>#REF!</v>
      </c>
      <c r="D38" s="105">
        <f t="shared" si="7"/>
        <v>0</v>
      </c>
      <c r="E38" s="105">
        <f t="shared" si="7"/>
        <v>0</v>
      </c>
      <c r="F38" s="105">
        <f t="shared" si="7"/>
        <v>0</v>
      </c>
      <c r="G38" s="105">
        <f t="shared" si="7"/>
        <v>0</v>
      </c>
    </row>
    <row r="39" spans="1:7" s="17" customFormat="1" ht="12.75" customHeight="1" x14ac:dyDescent="0.2">
      <c r="A39" s="80"/>
      <c r="B39" s="150"/>
      <c r="C39" s="150"/>
    </row>
    <row r="40" spans="1:7" s="17" customFormat="1" ht="12.75" customHeight="1" x14ac:dyDescent="0.2">
      <c r="A40" s="80"/>
      <c r="B40" s="150"/>
      <c r="C40" s="150"/>
    </row>
    <row r="41" spans="1:7" s="17" customFormat="1" ht="12.75" customHeight="1" x14ac:dyDescent="0.2">
      <c r="A41" s="80"/>
      <c r="B41" s="150"/>
      <c r="C41" s="150"/>
    </row>
    <row r="42" spans="1:7" s="17" customFormat="1" ht="12.75" customHeight="1" x14ac:dyDescent="0.2">
      <c r="A42" s="80"/>
      <c r="B42" s="150"/>
      <c r="C42" s="150"/>
    </row>
    <row r="43" spans="1:7" s="17" customFormat="1" ht="12.75" customHeight="1" x14ac:dyDescent="0.2">
      <c r="A43" s="80"/>
      <c r="B43" s="150"/>
      <c r="C43" s="150"/>
    </row>
    <row r="44" spans="1:7" s="17" customFormat="1" ht="12.75" customHeight="1" x14ac:dyDescent="0.2">
      <c r="A44" s="80"/>
      <c r="B44" s="150"/>
      <c r="C44" s="150"/>
    </row>
    <row r="45" spans="1:7" s="17" customFormat="1" ht="12.75" customHeight="1" x14ac:dyDescent="0.2">
      <c r="A45" s="80"/>
      <c r="B45" s="150"/>
      <c r="C45" s="150"/>
    </row>
    <row r="46" spans="1:7" s="17" customFormat="1" ht="12.75" customHeight="1" x14ac:dyDescent="0.2">
      <c r="A46" s="80"/>
      <c r="B46" s="150"/>
      <c r="C46" s="150"/>
    </row>
    <row r="47" spans="1:7" s="17" customFormat="1" ht="12.75" customHeight="1" x14ac:dyDescent="0.2">
      <c r="A47" s="80"/>
      <c r="B47" s="150"/>
      <c r="C47" s="150"/>
    </row>
    <row r="48" spans="1:7" s="17" customFormat="1" ht="12.75" customHeight="1" x14ac:dyDescent="0.2">
      <c r="A48" s="80"/>
      <c r="B48" s="150"/>
      <c r="C48" s="150"/>
    </row>
    <row r="49" spans="1:3" s="17" customFormat="1" ht="12.75" customHeight="1" x14ac:dyDescent="0.2">
      <c r="A49" s="80"/>
      <c r="B49" s="150"/>
      <c r="C49" s="150"/>
    </row>
    <row r="50" spans="1:3" s="17" customFormat="1" ht="12.75" customHeight="1" x14ac:dyDescent="0.2">
      <c r="A50" s="80"/>
      <c r="B50" s="150"/>
      <c r="C50" s="150"/>
    </row>
    <row r="51" spans="1:3" s="17" customFormat="1" ht="12.75" customHeight="1" x14ac:dyDescent="0.2">
      <c r="A51" s="80"/>
      <c r="B51" s="150"/>
      <c r="C51" s="150"/>
    </row>
    <row r="52" spans="1:3" s="17" customFormat="1" ht="12.75" customHeight="1" x14ac:dyDescent="0.2">
      <c r="A52" s="80"/>
      <c r="B52" s="150"/>
      <c r="C52" s="150"/>
    </row>
    <row r="53" spans="1:3" s="17" customFormat="1" ht="12.75" customHeight="1" x14ac:dyDescent="0.2">
      <c r="A53" s="80"/>
      <c r="B53" s="150"/>
      <c r="C53" s="150"/>
    </row>
    <row r="54" spans="1:3" s="17" customFormat="1" ht="12.75" customHeight="1" x14ac:dyDescent="0.2">
      <c r="A54" s="80"/>
      <c r="B54" s="150"/>
      <c r="C54" s="150"/>
    </row>
    <row r="55" spans="1:3" s="17" customFormat="1" ht="12.75" customHeight="1" x14ac:dyDescent="0.2">
      <c r="A55" s="80"/>
      <c r="B55" s="150"/>
      <c r="C55" s="150"/>
    </row>
    <row r="56" spans="1:3" s="17" customFormat="1" ht="12.75" customHeight="1" x14ac:dyDescent="0.2">
      <c r="A56" s="80"/>
      <c r="B56" s="150"/>
      <c r="C56" s="150"/>
    </row>
    <row r="57" spans="1:3" s="17" customFormat="1" ht="12.75" customHeight="1" x14ac:dyDescent="0.2">
      <c r="A57" s="80"/>
      <c r="B57" s="150"/>
      <c r="C57" s="150"/>
    </row>
    <row r="58" spans="1:3" s="17" customFormat="1" ht="12.75" customHeight="1" x14ac:dyDescent="0.2">
      <c r="A58" s="80"/>
      <c r="B58" s="150"/>
      <c r="C58" s="150"/>
    </row>
    <row r="59" spans="1:3" s="17" customFormat="1" ht="12.75" customHeight="1" x14ac:dyDescent="0.2">
      <c r="A59" s="80"/>
      <c r="B59" s="150"/>
      <c r="C59" s="150"/>
    </row>
    <row r="60" spans="1:3" s="17" customFormat="1" ht="12.75" customHeight="1" x14ac:dyDescent="0.2">
      <c r="A60" s="80"/>
      <c r="B60" s="150"/>
      <c r="C60" s="150"/>
    </row>
    <row r="61" spans="1:3" s="17" customFormat="1" ht="12.75" customHeight="1" x14ac:dyDescent="0.2">
      <c r="A61" s="80"/>
      <c r="B61" s="150"/>
      <c r="C61" s="150"/>
    </row>
    <row r="62" spans="1:3" s="17" customFormat="1" ht="12.75" customHeight="1" x14ac:dyDescent="0.2">
      <c r="A62" s="80"/>
      <c r="B62" s="150"/>
      <c r="C62" s="150"/>
    </row>
    <row r="63" spans="1:3" s="17" customFormat="1" ht="12.75" customHeight="1" x14ac:dyDescent="0.2">
      <c r="A63" s="80"/>
      <c r="B63" s="150"/>
      <c r="C63" s="150"/>
    </row>
    <row r="64" spans="1:3" s="17" customFormat="1" ht="12.75" customHeight="1" x14ac:dyDescent="0.2">
      <c r="A64" s="80"/>
      <c r="B64" s="80"/>
      <c r="C64" s="80"/>
    </row>
    <row r="65" spans="1:3" s="17" customFormat="1" ht="12.75" customHeight="1" x14ac:dyDescent="0.2">
      <c r="A65" s="80"/>
      <c r="B65" s="80"/>
      <c r="C65" s="80"/>
    </row>
    <row r="66" spans="1:3" s="17" customFormat="1" ht="12.75" customHeight="1" x14ac:dyDescent="0.2">
      <c r="A66" s="80"/>
      <c r="B66" s="80"/>
      <c r="C66" s="80"/>
    </row>
    <row r="67" spans="1:3" s="17" customFormat="1" ht="12.75" customHeight="1" x14ac:dyDescent="0.2">
      <c r="A67" s="80"/>
      <c r="B67" s="80"/>
      <c r="C67" s="80"/>
    </row>
    <row r="68" spans="1:3" s="17" customFormat="1" ht="12.75" customHeight="1" x14ac:dyDescent="0.2">
      <c r="A68" s="80"/>
      <c r="B68" s="80"/>
      <c r="C68" s="80"/>
    </row>
    <row r="69" spans="1:3" s="17" customFormat="1" ht="12.75" customHeight="1" x14ac:dyDescent="0.2">
      <c r="A69" s="80"/>
      <c r="B69" s="80"/>
      <c r="C69" s="80"/>
    </row>
    <row r="70" spans="1:3" s="17" customFormat="1" ht="12.75" customHeight="1" x14ac:dyDescent="0.2">
      <c r="A70" s="80"/>
      <c r="B70" s="80"/>
      <c r="C70" s="80"/>
    </row>
    <row r="71" spans="1:3" s="17" customFormat="1" ht="12.75" customHeight="1" x14ac:dyDescent="0.2">
      <c r="A71" s="80"/>
      <c r="B71" s="80"/>
      <c r="C71" s="80"/>
    </row>
    <row r="72" spans="1:3" s="17" customFormat="1" ht="12.75" customHeight="1" x14ac:dyDescent="0.2">
      <c r="A72" s="80"/>
      <c r="B72" s="80"/>
      <c r="C72" s="80"/>
    </row>
    <row r="73" spans="1:3" s="17" customFormat="1" ht="12.75" customHeight="1" x14ac:dyDescent="0.2">
      <c r="A73" s="80"/>
      <c r="B73" s="80"/>
      <c r="C73" s="80"/>
    </row>
    <row r="74" spans="1:3" s="17" customFormat="1" ht="12.75" customHeight="1" x14ac:dyDescent="0.2">
      <c r="A74" s="80"/>
      <c r="B74" s="80"/>
      <c r="C74" s="80"/>
    </row>
    <row r="75" spans="1:3" s="17" customFormat="1" ht="12.75" customHeight="1" x14ac:dyDescent="0.2">
      <c r="A75" s="80"/>
      <c r="B75" s="80"/>
      <c r="C75" s="80"/>
    </row>
    <row r="76" spans="1:3" s="17" customFormat="1" ht="12.75" customHeight="1" x14ac:dyDescent="0.2">
      <c r="A76" s="80"/>
      <c r="B76" s="80"/>
      <c r="C76" s="80"/>
    </row>
    <row r="77" spans="1:3" s="17" customFormat="1" ht="12.75" customHeight="1" x14ac:dyDescent="0.2">
      <c r="A77" s="80"/>
      <c r="B77" s="80"/>
      <c r="C77" s="80"/>
    </row>
    <row r="78" spans="1:3" s="17" customFormat="1" x14ac:dyDescent="0.2"/>
    <row r="79" spans="1:3" s="17" customFormat="1" x14ac:dyDescent="0.2"/>
    <row r="80" spans="1:3" s="17" customFormat="1" x14ac:dyDescent="0.2"/>
    <row r="81" s="17" customFormat="1" x14ac:dyDescent="0.2"/>
    <row r="82" s="17" customFormat="1" x14ac:dyDescent="0.2"/>
    <row r="83" s="17" customFormat="1" x14ac:dyDescent="0.2"/>
    <row r="84" s="17" customFormat="1" x14ac:dyDescent="0.2"/>
    <row r="85" s="17" customFormat="1" x14ac:dyDescent="0.2"/>
    <row r="86" s="17" customFormat="1" x14ac:dyDescent="0.2"/>
    <row r="87" s="17" customFormat="1" x14ac:dyDescent="0.2"/>
    <row r="88" s="17" customFormat="1" x14ac:dyDescent="0.2"/>
    <row r="89" s="17" customFormat="1" x14ac:dyDescent="0.2"/>
    <row r="90" s="17" customFormat="1" x14ac:dyDescent="0.2"/>
    <row r="91" s="17" customFormat="1" x14ac:dyDescent="0.2"/>
    <row r="92" s="17" customFormat="1" x14ac:dyDescent="0.2"/>
    <row r="93" s="17" customFormat="1" x14ac:dyDescent="0.2"/>
    <row r="94" s="17" customFormat="1" x14ac:dyDescent="0.2"/>
    <row r="95" s="17" customFormat="1" x14ac:dyDescent="0.2"/>
    <row r="96" s="17" customFormat="1" x14ac:dyDescent="0.2"/>
    <row r="97" s="17" customFormat="1" x14ac:dyDescent="0.2"/>
    <row r="98" s="17" customFormat="1" x14ac:dyDescent="0.2"/>
    <row r="99" s="17" customFormat="1" x14ac:dyDescent="0.2"/>
    <row r="100" s="17" customFormat="1" x14ac:dyDescent="0.2"/>
    <row r="101" s="17" customFormat="1" x14ac:dyDescent="0.2"/>
    <row r="102" s="17" customFormat="1" x14ac:dyDescent="0.2"/>
    <row r="103" s="17" customFormat="1" x14ac:dyDescent="0.2"/>
    <row r="104" s="17" customFormat="1" x14ac:dyDescent="0.2"/>
    <row r="105" s="17" customFormat="1" x14ac:dyDescent="0.2"/>
    <row r="106" s="17" customFormat="1" x14ac:dyDescent="0.2"/>
    <row r="107" s="17" customFormat="1" x14ac:dyDescent="0.2"/>
    <row r="108" s="17" customFormat="1" x14ac:dyDescent="0.2"/>
    <row r="109" s="17" customFormat="1" x14ac:dyDescent="0.2"/>
    <row r="110" s="17" customFormat="1" x14ac:dyDescent="0.2"/>
    <row r="111" s="17" customFormat="1" x14ac:dyDescent="0.2"/>
    <row r="112" s="17" customFormat="1" x14ac:dyDescent="0.2"/>
    <row r="113" s="17" customFormat="1" x14ac:dyDescent="0.2"/>
    <row r="114" s="17" customFormat="1" x14ac:dyDescent="0.2"/>
    <row r="115" s="17" customFormat="1" x14ac:dyDescent="0.2"/>
    <row r="116" s="17" customFormat="1" x14ac:dyDescent="0.2"/>
    <row r="117" s="17" customFormat="1" x14ac:dyDescent="0.2"/>
    <row r="118" s="17" customFormat="1" x14ac:dyDescent="0.2"/>
    <row r="119" s="17" customFormat="1" x14ac:dyDescent="0.2"/>
    <row r="120" s="17" customFormat="1" x14ac:dyDescent="0.2"/>
    <row r="121" s="17" customFormat="1" x14ac:dyDescent="0.2"/>
    <row r="122" s="17" customFormat="1" x14ac:dyDescent="0.2"/>
    <row r="123" s="17" customFormat="1" x14ac:dyDescent="0.2"/>
    <row r="124" s="17" customFormat="1" x14ac:dyDescent="0.2"/>
    <row r="125" s="17" customFormat="1" x14ac:dyDescent="0.2"/>
    <row r="126" s="17" customFormat="1" x14ac:dyDescent="0.2"/>
    <row r="127" s="17" customFormat="1" x14ac:dyDescent="0.2"/>
    <row r="128" s="17" customFormat="1" x14ac:dyDescent="0.2"/>
    <row r="129" s="17" customFormat="1" x14ac:dyDescent="0.2"/>
    <row r="130" s="17" customFormat="1" x14ac:dyDescent="0.2"/>
    <row r="131" s="17" customFormat="1" x14ac:dyDescent="0.2"/>
    <row r="132" s="17" customFormat="1" x14ac:dyDescent="0.2"/>
    <row r="133" s="17" customFormat="1" x14ac:dyDescent="0.2"/>
    <row r="134" s="17" customFormat="1" x14ac:dyDescent="0.2"/>
    <row r="135" s="17" customFormat="1" x14ac:dyDescent="0.2"/>
    <row r="136" s="17" customFormat="1" x14ac:dyDescent="0.2"/>
    <row r="137" s="17" customFormat="1" x14ac:dyDescent="0.2"/>
    <row r="138" s="17" customFormat="1" x14ac:dyDescent="0.2"/>
    <row r="139" s="17" customFormat="1" x14ac:dyDescent="0.2"/>
    <row r="140" s="17" customFormat="1" x14ac:dyDescent="0.2"/>
    <row r="141" s="17" customFormat="1" x14ac:dyDescent="0.2"/>
    <row r="142" s="17" customFormat="1" x14ac:dyDescent="0.2"/>
    <row r="143" s="17" customFormat="1" x14ac:dyDescent="0.2"/>
    <row r="144" s="17" customFormat="1" x14ac:dyDescent="0.2"/>
    <row r="145" s="17" customFormat="1" x14ac:dyDescent="0.2"/>
    <row r="146" s="17" customFormat="1" x14ac:dyDescent="0.2"/>
    <row r="147" s="17" customFormat="1" x14ac:dyDescent="0.2"/>
    <row r="148" s="17" customFormat="1" x14ac:dyDescent="0.2"/>
    <row r="149" s="17" customFormat="1" x14ac:dyDescent="0.2"/>
    <row r="150" s="17" customFormat="1" x14ac:dyDescent="0.2"/>
    <row r="151" s="17" customFormat="1" x14ac:dyDescent="0.2"/>
    <row r="152" s="17" customFormat="1" x14ac:dyDescent="0.2"/>
    <row r="153" s="17" customFormat="1" x14ac:dyDescent="0.2"/>
    <row r="154" s="17" customFormat="1" x14ac:dyDescent="0.2"/>
    <row r="155" s="17" customFormat="1" x14ac:dyDescent="0.2"/>
    <row r="156" s="17" customFormat="1" x14ac:dyDescent="0.2"/>
    <row r="157" s="17" customFormat="1" x14ac:dyDescent="0.2"/>
    <row r="158" s="17" customFormat="1" x14ac:dyDescent="0.2"/>
    <row r="159" s="17" customFormat="1" x14ac:dyDescent="0.2"/>
    <row r="160" s="17" customFormat="1" x14ac:dyDescent="0.2"/>
    <row r="161" s="17" customFormat="1" x14ac:dyDescent="0.2"/>
    <row r="162" s="17" customFormat="1" x14ac:dyDescent="0.2"/>
    <row r="163" s="17" customFormat="1" x14ac:dyDescent="0.2"/>
    <row r="164" s="17" customFormat="1" x14ac:dyDescent="0.2"/>
    <row r="165" s="17" customFormat="1" x14ac:dyDescent="0.2"/>
    <row r="166" s="17" customFormat="1" x14ac:dyDescent="0.2"/>
    <row r="167" s="17" customFormat="1" x14ac:dyDescent="0.2"/>
    <row r="168" s="17" customFormat="1" x14ac:dyDescent="0.2"/>
    <row r="169" s="17" customFormat="1" x14ac:dyDescent="0.2"/>
    <row r="170" s="17" customFormat="1" x14ac:dyDescent="0.2"/>
    <row r="171" s="17" customFormat="1" x14ac:dyDescent="0.2"/>
    <row r="172" s="17" customFormat="1" x14ac:dyDescent="0.2"/>
    <row r="173" s="17" customFormat="1" x14ac:dyDescent="0.2"/>
    <row r="174" s="17" customFormat="1" x14ac:dyDescent="0.2"/>
    <row r="175" s="17" customFormat="1" x14ac:dyDescent="0.2"/>
    <row r="176" s="17" customFormat="1" x14ac:dyDescent="0.2"/>
    <row r="177" s="17" customFormat="1" x14ac:dyDescent="0.2"/>
    <row r="178" s="17" customFormat="1" x14ac:dyDescent="0.2"/>
    <row r="179" s="17" customFormat="1" x14ac:dyDescent="0.2"/>
    <row r="180" s="17" customFormat="1" x14ac:dyDescent="0.2"/>
    <row r="181" s="17" customFormat="1" x14ac:dyDescent="0.2"/>
    <row r="182" s="17" customFormat="1" x14ac:dyDescent="0.2"/>
    <row r="183" s="17" customFormat="1" x14ac:dyDescent="0.2"/>
    <row r="184" s="17" customFormat="1" x14ac:dyDescent="0.2"/>
    <row r="185" s="17" customFormat="1" x14ac:dyDescent="0.2"/>
    <row r="186" s="17" customFormat="1" x14ac:dyDescent="0.2"/>
    <row r="187" s="17" customFormat="1" x14ac:dyDescent="0.2"/>
    <row r="188" s="17" customFormat="1" x14ac:dyDescent="0.2"/>
    <row r="189" s="17" customFormat="1" x14ac:dyDescent="0.2"/>
    <row r="190" s="17" customFormat="1" x14ac:dyDescent="0.2"/>
    <row r="191" s="17" customFormat="1" x14ac:dyDescent="0.2"/>
    <row r="192" s="17" customFormat="1" x14ac:dyDescent="0.2"/>
    <row r="193" s="17" customFormat="1" x14ac:dyDescent="0.2"/>
    <row r="194" s="17" customFormat="1" x14ac:dyDescent="0.2"/>
    <row r="195" s="17" customFormat="1" x14ac:dyDescent="0.2"/>
    <row r="196" s="17" customFormat="1" x14ac:dyDescent="0.2"/>
    <row r="197" s="17" customFormat="1" x14ac:dyDescent="0.2"/>
    <row r="198" s="17" customFormat="1" x14ac:dyDescent="0.2"/>
    <row r="199" s="17" customFormat="1" x14ac:dyDescent="0.2"/>
    <row r="200" s="17" customFormat="1" x14ac:dyDescent="0.2"/>
    <row r="201" s="17" customFormat="1" x14ac:dyDescent="0.2"/>
    <row r="202" s="17" customFormat="1" x14ac:dyDescent="0.2"/>
    <row r="203" s="17" customFormat="1" x14ac:dyDescent="0.2"/>
    <row r="204" s="17" customFormat="1" x14ac:dyDescent="0.2"/>
    <row r="205" s="17" customFormat="1" x14ac:dyDescent="0.2"/>
    <row r="206" s="17" customFormat="1" x14ac:dyDescent="0.2"/>
    <row r="207" s="17" customFormat="1" x14ac:dyDescent="0.2"/>
    <row r="208" s="17" customFormat="1" x14ac:dyDescent="0.2"/>
    <row r="209" s="17" customFormat="1" x14ac:dyDescent="0.2"/>
    <row r="210" s="17" customFormat="1" x14ac:dyDescent="0.2"/>
    <row r="211" s="17" customFormat="1" x14ac:dyDescent="0.2"/>
    <row r="212" s="17" customFormat="1" x14ac:dyDescent="0.2"/>
    <row r="213" s="17" customFormat="1" x14ac:dyDescent="0.2"/>
    <row r="214" s="17" customFormat="1" x14ac:dyDescent="0.2"/>
    <row r="215" s="17" customFormat="1" x14ac:dyDescent="0.2"/>
    <row r="216" s="17" customFormat="1" x14ac:dyDescent="0.2"/>
    <row r="217" s="17" customFormat="1" x14ac:dyDescent="0.2"/>
    <row r="218" s="17" customFormat="1" x14ac:dyDescent="0.2"/>
    <row r="219" s="17" customFormat="1" x14ac:dyDescent="0.2"/>
    <row r="220" s="17" customFormat="1" x14ac:dyDescent="0.2"/>
    <row r="221" s="17" customFormat="1" x14ac:dyDescent="0.2"/>
    <row r="222" s="17" customFormat="1" x14ac:dyDescent="0.2"/>
    <row r="223" s="17" customFormat="1" x14ac:dyDescent="0.2"/>
    <row r="224" s="17" customFormat="1" x14ac:dyDescent="0.2"/>
    <row r="225" s="17" customFormat="1" x14ac:dyDescent="0.2"/>
    <row r="226" s="17" customFormat="1" x14ac:dyDescent="0.2"/>
    <row r="227" s="17" customFormat="1" x14ac:dyDescent="0.2"/>
    <row r="228" s="17" customFormat="1" x14ac:dyDescent="0.2"/>
    <row r="229" s="17" customFormat="1" x14ac:dyDescent="0.2"/>
    <row r="230" s="17" customFormat="1" x14ac:dyDescent="0.2"/>
    <row r="231" s="17" customFormat="1" x14ac:dyDescent="0.2"/>
    <row r="232" s="17" customFormat="1" x14ac:dyDescent="0.2"/>
    <row r="233" s="17" customFormat="1" x14ac:dyDescent="0.2"/>
    <row r="234" s="17" customFormat="1" x14ac:dyDescent="0.2"/>
    <row r="235" s="17" customFormat="1" x14ac:dyDescent="0.2"/>
    <row r="236" s="17" customFormat="1" x14ac:dyDescent="0.2"/>
    <row r="237" s="17" customFormat="1" x14ac:dyDescent="0.2"/>
    <row r="238" s="17" customFormat="1" x14ac:dyDescent="0.2"/>
    <row r="239" s="17" customFormat="1" x14ac:dyDescent="0.2"/>
    <row r="240" s="17" customFormat="1" x14ac:dyDescent="0.2"/>
    <row r="241" s="17" customFormat="1" x14ac:dyDescent="0.2"/>
    <row r="242" s="17" customFormat="1" x14ac:dyDescent="0.2"/>
    <row r="243" s="17" customFormat="1" x14ac:dyDescent="0.2"/>
    <row r="244" s="17" customFormat="1" x14ac:dyDescent="0.2"/>
    <row r="245" s="17" customFormat="1" x14ac:dyDescent="0.2"/>
    <row r="246" s="17" customFormat="1" x14ac:dyDescent="0.2"/>
    <row r="247" s="17" customFormat="1" x14ac:dyDescent="0.2"/>
    <row r="248" s="17" customFormat="1" x14ac:dyDescent="0.2"/>
    <row r="249" s="17" customFormat="1" x14ac:dyDescent="0.2"/>
    <row r="250" s="17" customFormat="1" x14ac:dyDescent="0.2"/>
    <row r="251" s="17" customFormat="1" x14ac:dyDescent="0.2"/>
    <row r="252" s="17" customFormat="1" x14ac:dyDescent="0.2"/>
    <row r="253" s="17" customFormat="1" x14ac:dyDescent="0.2"/>
    <row r="254" s="17" customFormat="1" x14ac:dyDescent="0.2"/>
    <row r="255" s="17" customFormat="1" x14ac:dyDescent="0.2"/>
    <row r="256" s="17" customFormat="1" x14ac:dyDescent="0.2"/>
    <row r="257" s="17" customFormat="1" x14ac:dyDescent="0.2"/>
    <row r="258" s="17" customFormat="1" x14ac:dyDescent="0.2"/>
    <row r="259" s="17" customFormat="1" x14ac:dyDescent="0.2"/>
    <row r="260" s="17" customFormat="1" x14ac:dyDescent="0.2"/>
    <row r="261" s="17" customFormat="1" x14ac:dyDescent="0.2"/>
    <row r="262" s="17" customFormat="1" x14ac:dyDescent="0.2"/>
    <row r="263" s="17" customFormat="1" x14ac:dyDescent="0.2"/>
    <row r="264" s="17" customFormat="1" x14ac:dyDescent="0.2"/>
    <row r="265" s="17" customFormat="1" x14ac:dyDescent="0.2"/>
    <row r="266" s="17" customFormat="1" x14ac:dyDescent="0.2"/>
    <row r="267" s="17" customFormat="1" x14ac:dyDescent="0.2"/>
    <row r="268" s="17" customFormat="1" x14ac:dyDescent="0.2"/>
    <row r="269" s="17" customFormat="1" x14ac:dyDescent="0.2"/>
    <row r="270" s="17" customFormat="1" x14ac:dyDescent="0.2"/>
    <row r="271" s="17" customFormat="1" x14ac:dyDescent="0.2"/>
    <row r="272" s="17" customFormat="1" x14ac:dyDescent="0.2"/>
    <row r="273" s="17" customFormat="1" x14ac:dyDescent="0.2"/>
    <row r="274" s="17" customFormat="1" x14ac:dyDescent="0.2"/>
    <row r="275" s="17" customFormat="1" x14ac:dyDescent="0.2"/>
    <row r="276" s="17" customFormat="1" x14ac:dyDescent="0.2"/>
    <row r="277" s="17" customFormat="1" x14ac:dyDescent="0.2"/>
    <row r="278" s="17" customFormat="1" x14ac:dyDescent="0.2"/>
    <row r="279" s="17" customFormat="1" x14ac:dyDescent="0.2"/>
    <row r="280" s="17" customFormat="1" x14ac:dyDescent="0.2"/>
    <row r="281" s="17" customFormat="1" x14ac:dyDescent="0.2"/>
    <row r="282" s="17" customFormat="1" x14ac:dyDescent="0.2"/>
    <row r="283" s="17" customFormat="1" x14ac:dyDescent="0.2"/>
    <row r="284" s="17" customFormat="1" x14ac:dyDescent="0.2"/>
    <row r="285" s="17" customFormat="1" x14ac:dyDescent="0.2"/>
    <row r="286" s="17" customFormat="1" x14ac:dyDescent="0.2"/>
    <row r="287" s="17" customFormat="1" x14ac:dyDescent="0.2"/>
    <row r="288" s="17" customFormat="1" x14ac:dyDescent="0.2"/>
    <row r="289" s="17" customFormat="1" x14ac:dyDescent="0.2"/>
    <row r="290" s="17" customFormat="1" x14ac:dyDescent="0.2"/>
    <row r="291" s="17" customFormat="1" x14ac:dyDescent="0.2"/>
    <row r="292" s="17" customFormat="1" x14ac:dyDescent="0.2"/>
    <row r="293" s="17" customFormat="1" x14ac:dyDescent="0.2"/>
    <row r="294" s="17" customFormat="1" x14ac:dyDescent="0.2"/>
    <row r="295" s="17" customFormat="1" x14ac:dyDescent="0.2"/>
    <row r="296" s="17" customFormat="1" x14ac:dyDescent="0.2"/>
    <row r="297" s="17" customFormat="1" x14ac:dyDescent="0.2"/>
    <row r="298" s="17" customFormat="1" x14ac:dyDescent="0.2"/>
    <row r="299" s="17" customFormat="1" x14ac:dyDescent="0.2"/>
    <row r="300" s="17" customFormat="1" x14ac:dyDescent="0.2"/>
    <row r="301" s="17" customFormat="1" x14ac:dyDescent="0.2"/>
    <row r="302" s="17" customFormat="1" x14ac:dyDescent="0.2"/>
    <row r="303" s="17" customFormat="1" x14ac:dyDescent="0.2"/>
    <row r="304" s="17" customFormat="1" x14ac:dyDescent="0.2"/>
    <row r="305" s="17" customFormat="1" x14ac:dyDescent="0.2"/>
    <row r="306" s="17" customFormat="1" x14ac:dyDescent="0.2"/>
    <row r="307" s="17" customFormat="1" x14ac:dyDescent="0.2"/>
    <row r="308" s="17" customFormat="1" x14ac:dyDescent="0.2"/>
    <row r="309" s="17" customFormat="1" x14ac:dyDescent="0.2"/>
    <row r="310" s="17" customFormat="1" x14ac:dyDescent="0.2"/>
    <row r="311" s="17" customFormat="1" x14ac:dyDescent="0.2"/>
    <row r="312" s="17" customFormat="1" x14ac:dyDescent="0.2"/>
    <row r="313" s="17" customFormat="1" x14ac:dyDescent="0.2"/>
    <row r="314" s="17" customFormat="1" x14ac:dyDescent="0.2"/>
    <row r="315" s="17" customFormat="1" x14ac:dyDescent="0.2"/>
    <row r="316" s="17" customFormat="1" x14ac:dyDescent="0.2"/>
    <row r="317" s="17" customFormat="1" x14ac:dyDescent="0.2"/>
    <row r="318" s="17" customFormat="1" x14ac:dyDescent="0.2"/>
    <row r="319" s="17" customFormat="1" x14ac:dyDescent="0.2"/>
    <row r="320" s="17" customFormat="1" x14ac:dyDescent="0.2"/>
    <row r="321" s="17" customFormat="1" x14ac:dyDescent="0.2"/>
    <row r="322" s="17" customFormat="1" x14ac:dyDescent="0.2"/>
    <row r="323" s="17" customFormat="1" x14ac:dyDescent="0.2"/>
    <row r="324" s="17" customFormat="1" x14ac:dyDescent="0.2"/>
    <row r="325" s="17" customFormat="1" x14ac:dyDescent="0.2"/>
    <row r="326" s="17" customFormat="1" x14ac:dyDescent="0.2"/>
    <row r="327" s="17" customFormat="1" x14ac:dyDescent="0.2"/>
    <row r="328" s="17" customFormat="1" x14ac:dyDescent="0.2"/>
    <row r="329" s="17" customFormat="1" x14ac:dyDescent="0.2"/>
    <row r="330" s="17" customFormat="1" x14ac:dyDescent="0.2"/>
    <row r="331" s="17" customFormat="1" x14ac:dyDescent="0.2"/>
    <row r="332" s="17" customFormat="1" x14ac:dyDescent="0.2"/>
    <row r="333" s="17" customFormat="1" x14ac:dyDescent="0.2"/>
    <row r="334" s="17" customFormat="1" x14ac:dyDescent="0.2"/>
    <row r="335" s="17" customFormat="1" x14ac:dyDescent="0.2"/>
    <row r="336" s="17" customFormat="1" x14ac:dyDescent="0.2"/>
  </sheetData>
  <mergeCells count="38">
    <mergeCell ref="A2:G2"/>
    <mergeCell ref="R4:S4"/>
    <mergeCell ref="H4:I4"/>
    <mergeCell ref="J4:K4"/>
    <mergeCell ref="L4:M4"/>
    <mergeCell ref="F4:G4"/>
    <mergeCell ref="B4:C4"/>
    <mergeCell ref="D4:E4"/>
    <mergeCell ref="Z4:AA4"/>
    <mergeCell ref="AD4:AE4"/>
    <mergeCell ref="N4:O4"/>
    <mergeCell ref="V4:W4"/>
    <mergeCell ref="X4:Y4"/>
    <mergeCell ref="AB4:AC4"/>
    <mergeCell ref="P4:Q4"/>
    <mergeCell ref="T4:U4"/>
    <mergeCell ref="BH4:BI4"/>
    <mergeCell ref="AR4:AS4"/>
    <mergeCell ref="AJ4:AK4"/>
    <mergeCell ref="BB4:BC4"/>
    <mergeCell ref="BF4:BG4"/>
    <mergeCell ref="BD4:BE4"/>
    <mergeCell ref="AF4:AG4"/>
    <mergeCell ref="AZ4:BA4"/>
    <mergeCell ref="AP4:AQ4"/>
    <mergeCell ref="AL4:AM4"/>
    <mergeCell ref="AT4:AU4"/>
    <mergeCell ref="AX4:AY4"/>
    <mergeCell ref="AV4:AW4"/>
    <mergeCell ref="AN4:AO4"/>
    <mergeCell ref="AH4:AI4"/>
    <mergeCell ref="BV4:BW4"/>
    <mergeCell ref="BJ4:BK4"/>
    <mergeCell ref="BL4:BM4"/>
    <mergeCell ref="BN4:BO4"/>
    <mergeCell ref="BP4:BQ4"/>
    <mergeCell ref="BT4:BU4"/>
    <mergeCell ref="BR4:BS4"/>
  </mergeCells>
  <phoneticPr fontId="0" type="noConversion"/>
  <pageMargins left="1.5748031496062993" right="0.78740157480314965" top="0.9055118110236221" bottom="0.39370078740157483" header="0.15748031496062992" footer="0"/>
  <pageSetup paperSize="9" scale="85" fitToWidth="2" fitToHeight="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GR522"/>
  <sheetViews>
    <sheetView workbookViewId="0"/>
  </sheetViews>
  <sheetFormatPr baseColWidth="10" defaultColWidth="11.42578125" defaultRowHeight="12" x14ac:dyDescent="0.2"/>
  <cols>
    <col min="1" max="1" width="80.7109375" style="177" bestFit="1" customWidth="1"/>
    <col min="2" max="2" width="15.7109375" style="83" customWidth="1"/>
    <col min="3" max="3" width="14" style="83" bestFit="1" customWidth="1"/>
    <col min="4" max="7" width="16.42578125" style="83" customWidth="1"/>
    <col min="8" max="200" width="11.42578125" style="24"/>
    <col min="201" max="16384" width="11.42578125" style="83"/>
  </cols>
  <sheetData>
    <row r="1" spans="1:7" s="24" customFormat="1" x14ac:dyDescent="0.2">
      <c r="A1" s="199" t="s">
        <v>70</v>
      </c>
    </row>
    <row r="2" spans="1:7" x14ac:dyDescent="0.2">
      <c r="A2" s="330" t="s">
        <v>9</v>
      </c>
      <c r="B2" s="331"/>
      <c r="C2" s="331"/>
      <c r="D2" s="331"/>
      <c r="E2" s="331"/>
      <c r="F2" s="331"/>
      <c r="G2" s="332"/>
    </row>
    <row r="3" spans="1:7" s="24" customFormat="1" x14ac:dyDescent="0.2">
      <c r="A3" s="200"/>
    </row>
    <row r="4" spans="1:7" ht="24" customHeight="1" x14ac:dyDescent="0.2">
      <c r="A4" s="329" t="s">
        <v>36</v>
      </c>
      <c r="B4" s="320" t="s">
        <v>30</v>
      </c>
      <c r="C4" s="320"/>
      <c r="D4" s="320" t="s">
        <v>31</v>
      </c>
      <c r="E4" s="320"/>
      <c r="F4" s="320" t="s">
        <v>32</v>
      </c>
      <c r="G4" s="320"/>
    </row>
    <row r="5" spans="1:7" x14ac:dyDescent="0.2">
      <c r="A5" s="329"/>
      <c r="B5" s="1">
        <v>2021</v>
      </c>
      <c r="C5" s="1">
        <v>2022</v>
      </c>
      <c r="D5" s="1">
        <v>2021</v>
      </c>
      <c r="E5" s="1">
        <v>2022</v>
      </c>
      <c r="F5" s="1">
        <v>2021</v>
      </c>
      <c r="G5" s="1">
        <v>2022</v>
      </c>
    </row>
    <row r="6" spans="1:7" x14ac:dyDescent="0.2">
      <c r="A6" s="162" t="s">
        <v>71</v>
      </c>
      <c r="B6" s="163"/>
      <c r="C6" s="163"/>
      <c r="D6" s="163"/>
      <c r="E6" s="163"/>
      <c r="F6" s="163"/>
      <c r="G6" s="163"/>
    </row>
    <row r="7" spans="1:7" x14ac:dyDescent="0.2">
      <c r="A7" s="95" t="s">
        <v>72</v>
      </c>
      <c r="B7" s="164" t="e">
        <f>'2'!B8/'2'!B12</f>
        <v>#REF!</v>
      </c>
      <c r="C7" s="164" t="e">
        <f>'2'!C8/'2'!C12</f>
        <v>#REF!</v>
      </c>
      <c r="D7" s="164">
        <f>'2'!D8/'2'!D12</f>
        <v>1.1463156718726926</v>
      </c>
      <c r="E7" s="164">
        <f>'2'!E8/'2'!E12</f>
        <v>0.94630208119077786</v>
      </c>
      <c r="F7" s="164">
        <f>'2'!F8/'2'!F12</f>
        <v>1.3908204489222784</v>
      </c>
      <c r="G7" s="164">
        <f>'2'!G8/'2'!G12</f>
        <v>1.4397868525610065</v>
      </c>
    </row>
    <row r="8" spans="1:7" x14ac:dyDescent="0.2">
      <c r="A8" s="64" t="s">
        <v>73</v>
      </c>
      <c r="B8" s="165"/>
      <c r="C8" s="165"/>
      <c r="D8" s="165"/>
      <c r="E8" s="165"/>
      <c r="F8" s="165"/>
      <c r="G8" s="165"/>
    </row>
    <row r="9" spans="1:7" x14ac:dyDescent="0.2">
      <c r="A9" s="96" t="s">
        <v>74</v>
      </c>
      <c r="B9" s="166" t="e">
        <f>+'2'!B12/'2'!B14</f>
        <v>#REF!</v>
      </c>
      <c r="C9" s="166" t="e">
        <f>+'2'!C12/'2'!C14</f>
        <v>#REF!</v>
      </c>
      <c r="D9" s="166">
        <f>+'2'!D12/'2'!D14</f>
        <v>0.70173559962999943</v>
      </c>
      <c r="E9" s="166">
        <f>+'2'!E12/'2'!E14</f>
        <v>0.67965297035198291</v>
      </c>
      <c r="F9" s="166">
        <f>+'2'!F12/'2'!F14</f>
        <v>0.45011146315167488</v>
      </c>
      <c r="G9" s="166">
        <f>+'2'!G12/'2'!G14</f>
        <v>0.51064913210498963</v>
      </c>
    </row>
    <row r="10" spans="1:7" x14ac:dyDescent="0.2">
      <c r="A10" s="96" t="s">
        <v>75</v>
      </c>
      <c r="B10" s="164" t="e">
        <f>'2'!B14/'2'!B26</f>
        <v>#REF!</v>
      </c>
      <c r="C10" s="164" t="e">
        <f>'2'!C14/'2'!C26</f>
        <v>#REF!</v>
      </c>
      <c r="D10" s="164">
        <f>'2'!D14/'2'!D26</f>
        <v>1.6448541234903722</v>
      </c>
      <c r="E10" s="164">
        <f>'2'!E14/'2'!E26</f>
        <v>2.5348333546918611</v>
      </c>
      <c r="F10" s="164">
        <f>'2'!F14/'2'!F26</f>
        <v>2.1832146134470394</v>
      </c>
      <c r="G10" s="164">
        <f>'2'!G14/'2'!G26</f>
        <v>2.4625685547209843</v>
      </c>
    </row>
    <row r="11" spans="1:7" x14ac:dyDescent="0.2">
      <c r="A11" s="97" t="s">
        <v>76</v>
      </c>
      <c r="B11" s="164" t="e">
        <f>'2'!B13/'2'!B19</f>
        <v>#REF!</v>
      </c>
      <c r="C11" s="164" t="e">
        <f>'2'!C13/'2'!C19</f>
        <v>#REF!</v>
      </c>
      <c r="D11" s="164">
        <f>'2'!D13/'2'!D19</f>
        <v>4.4684884615321101</v>
      </c>
      <c r="E11" s="164">
        <f>'2'!E13/'2'!E19</f>
        <v>5.5163109447569569</v>
      </c>
      <c r="F11" s="164">
        <f>'2'!F13/'2'!F19</f>
        <v>81.560533953578101</v>
      </c>
      <c r="G11" s="164">
        <f>'2'!G13/'2'!G19</f>
        <v>48.872546003193968</v>
      </c>
    </row>
    <row r="12" spans="1:7" x14ac:dyDescent="0.2">
      <c r="A12" s="96" t="s">
        <v>77</v>
      </c>
      <c r="B12" s="164" t="e">
        <f>'2'!B14/'2'!B10</f>
        <v>#REF!</v>
      </c>
      <c r="C12" s="164" t="e">
        <f>'2'!C14/'2'!C10</f>
        <v>#REF!</v>
      </c>
      <c r="D12" s="164">
        <f>'2'!D14/'2'!D10</f>
        <v>0.62190731385959552</v>
      </c>
      <c r="E12" s="164">
        <f>'2'!E14/'2'!E10</f>
        <v>0.71710123231900647</v>
      </c>
      <c r="F12" s="164">
        <f>'2'!F14/'2'!F10</f>
        <v>0.68585215845150949</v>
      </c>
      <c r="G12" s="164">
        <f>'2'!G14/'2'!G10</f>
        <v>0.71119705380661247</v>
      </c>
    </row>
    <row r="13" spans="1:7" x14ac:dyDescent="0.2">
      <c r="A13" s="64" t="s">
        <v>78</v>
      </c>
      <c r="B13" s="165"/>
      <c r="C13" s="165"/>
      <c r="D13" s="165"/>
      <c r="E13" s="165"/>
      <c r="F13" s="165"/>
      <c r="G13" s="165"/>
    </row>
    <row r="14" spans="1:7" x14ac:dyDescent="0.2">
      <c r="A14" s="96" t="s">
        <v>79</v>
      </c>
      <c r="B14" s="164" t="e">
        <f>'2'!B10/'2'!B14</f>
        <v>#REF!</v>
      </c>
      <c r="C14" s="164" t="e">
        <f>'2'!C10/'2'!C14</f>
        <v>#REF!</v>
      </c>
      <c r="D14" s="164">
        <f>'2'!D10/'2'!D14</f>
        <v>1.6079566483853323</v>
      </c>
      <c r="E14" s="164">
        <f>'2'!E10/'2'!E14</f>
        <v>1.3945032513277631</v>
      </c>
      <c r="F14" s="164">
        <f>'2'!F10/'2'!F14</f>
        <v>1.4580401733483808</v>
      </c>
      <c r="G14" s="164">
        <f>'2'!G10/'2'!G14</f>
        <v>1.406080065500269</v>
      </c>
    </row>
    <row r="15" spans="1:7" x14ac:dyDescent="0.2">
      <c r="A15" s="96" t="s">
        <v>80</v>
      </c>
      <c r="B15" s="164" t="e">
        <f>'2'!B10/'2'!B12</f>
        <v>#REF!</v>
      </c>
      <c r="C15" s="164" t="e">
        <f>'2'!C10/'2'!C12</f>
        <v>#REF!</v>
      </c>
      <c r="D15" s="164">
        <f>'2'!D10/'2'!D12</f>
        <v>2.2913995659236206</v>
      </c>
      <c r="E15" s="164">
        <f>'2'!E10/'2'!E12</f>
        <v>2.0517871798685277</v>
      </c>
      <c r="F15" s="164">
        <f>'2'!F10/'2'!F12</f>
        <v>3.2392869160434206</v>
      </c>
      <c r="G15" s="164">
        <f>'2'!G10/'2'!G12</f>
        <v>2.7535150401688697</v>
      </c>
    </row>
    <row r="16" spans="1:7" x14ac:dyDescent="0.2">
      <c r="A16" s="64" t="s">
        <v>81</v>
      </c>
      <c r="B16" s="165"/>
      <c r="C16" s="165"/>
      <c r="D16" s="165"/>
      <c r="E16" s="165"/>
      <c r="F16" s="165"/>
      <c r="G16" s="165"/>
    </row>
    <row r="17" spans="1:7" x14ac:dyDescent="0.2">
      <c r="A17" s="96" t="s">
        <v>82</v>
      </c>
      <c r="B17" s="164" t="e">
        <f>'2'!B9/'2'!B13</f>
        <v>#REF!</v>
      </c>
      <c r="C17" s="164" t="e">
        <f>'2'!C9/'2'!C13</f>
        <v>#REF!</v>
      </c>
      <c r="D17" s="164">
        <f>'2'!D9/'2'!D13</f>
        <v>2.6940732183313663</v>
      </c>
      <c r="E17" s="164">
        <f>'2'!E9/'2'!E13</f>
        <v>2.3454134468539731</v>
      </c>
      <c r="F17" s="164">
        <f>'2'!F9/'2'!F13</f>
        <v>1.5130629033865426</v>
      </c>
      <c r="G17" s="164">
        <f>'2'!G9/'2'!G13</f>
        <v>1.3709062409750283</v>
      </c>
    </row>
    <row r="18" spans="1:7" x14ac:dyDescent="0.2">
      <c r="A18" s="96" t="s">
        <v>83</v>
      </c>
      <c r="B18" s="164" t="e">
        <f>'2'!B10/'2'!B14</f>
        <v>#REF!</v>
      </c>
      <c r="C18" s="164" t="e">
        <f>'2'!C10/'2'!C14</f>
        <v>#REF!</v>
      </c>
      <c r="D18" s="164">
        <f>'2'!D10/'2'!D14</f>
        <v>1.6079566483853323</v>
      </c>
      <c r="E18" s="164">
        <f>'2'!E10/'2'!E14</f>
        <v>1.3945032513277631</v>
      </c>
      <c r="F18" s="164">
        <f>'2'!F10/'2'!F14</f>
        <v>1.4580401733483808</v>
      </c>
      <c r="G18" s="164">
        <f>'2'!G10/'2'!G14</f>
        <v>1.406080065500269</v>
      </c>
    </row>
    <row r="19" spans="1:7" x14ac:dyDescent="0.2">
      <c r="A19" s="64" t="s">
        <v>84</v>
      </c>
      <c r="B19" s="165"/>
      <c r="C19" s="165"/>
      <c r="D19" s="165"/>
      <c r="E19" s="165"/>
      <c r="F19" s="165"/>
      <c r="G19" s="165"/>
    </row>
    <row r="20" spans="1:7" x14ac:dyDescent="0.2">
      <c r="A20" s="96" t="s">
        <v>85</v>
      </c>
      <c r="B20" s="164" t="e">
        <f>'2'!B19/'2'!B10</f>
        <v>#REF!</v>
      </c>
      <c r="C20" s="164" t="e">
        <f>'2'!C19/'2'!C10</f>
        <v>#REF!</v>
      </c>
      <c r="D20" s="164">
        <f>'2'!D19/'2'!D10</f>
        <v>4.1511310513813016E-2</v>
      </c>
      <c r="E20" s="164">
        <f>'2'!E19/'2'!E10</f>
        <v>4.1643999410270298E-2</v>
      </c>
      <c r="F20" s="164">
        <f>'2'!F19/'2'!F10</f>
        <v>4.6240776221477984E-3</v>
      </c>
      <c r="G20" s="164">
        <f>'2'!G19/'2'!G10</f>
        <v>7.1210715214610623E-3</v>
      </c>
    </row>
    <row r="21" spans="1:7" x14ac:dyDescent="0.2">
      <c r="A21" s="64" t="s">
        <v>86</v>
      </c>
      <c r="B21" s="165"/>
      <c r="C21" s="165"/>
      <c r="D21" s="165"/>
      <c r="E21" s="165"/>
      <c r="F21" s="165"/>
      <c r="G21" s="165"/>
    </row>
    <row r="22" spans="1:7" x14ac:dyDescent="0.2">
      <c r="A22" s="96" t="s">
        <v>87</v>
      </c>
      <c r="B22" s="164" t="e">
        <f>'2'!B24/'2'!B21</f>
        <v>#REF!</v>
      </c>
      <c r="C22" s="164" t="e">
        <f>'2'!C24/'2'!C21</f>
        <v>#REF!</v>
      </c>
      <c r="D22" s="164">
        <f>'2'!D24/'2'!D21</f>
        <v>9.7430179300452058E-2</v>
      </c>
      <c r="E22" s="164">
        <f>'2'!E24/'2'!E21</f>
        <v>-1.0689798021774112E-2</v>
      </c>
      <c r="F22" s="164">
        <f>'2'!F24/'2'!F21</f>
        <v>2.2727940536899736</v>
      </c>
      <c r="G22" s="164">
        <f>'2'!G24/'2'!G21</f>
        <v>2.2161427927787529</v>
      </c>
    </row>
    <row r="23" spans="1:7" x14ac:dyDescent="0.2">
      <c r="A23" s="96" t="s">
        <v>88</v>
      </c>
      <c r="B23" s="164" t="e">
        <f>+'2'!B25/'2'!B21</f>
        <v>#REF!</v>
      </c>
      <c r="C23" s="164" t="e">
        <f>+'2'!C25/'2'!C21</f>
        <v>#REF!</v>
      </c>
      <c r="D23" s="164">
        <f>+'2'!D25/'2'!D21</f>
        <v>-1.6862888375738697E-2</v>
      </c>
      <c r="E23" s="164">
        <f>+'2'!E25/'2'!E21</f>
        <v>2.1642104714987868E-3</v>
      </c>
      <c r="F23" s="164">
        <f>+'2'!F25/'2'!F21</f>
        <v>0.14834989829265258</v>
      </c>
      <c r="G23" s="164">
        <f>+'2'!G25/'2'!G21</f>
        <v>0.14325389213559478</v>
      </c>
    </row>
    <row r="24" spans="1:7" x14ac:dyDescent="0.2">
      <c r="A24" s="64" t="s">
        <v>89</v>
      </c>
      <c r="B24" s="167"/>
      <c r="C24" s="167"/>
      <c r="D24" s="167"/>
      <c r="E24" s="167"/>
      <c r="F24" s="167"/>
      <c r="G24" s="167"/>
    </row>
    <row r="25" spans="1:7" ht="17.25" customHeight="1" x14ac:dyDescent="0.2">
      <c r="A25" s="97" t="s">
        <v>90</v>
      </c>
      <c r="B25" s="93" t="e">
        <f>'2'!B8-'2'!B12</f>
        <v>#REF!</v>
      </c>
      <c r="C25" s="93" t="e">
        <f>'2'!C8-'2'!C12</f>
        <v>#REF!</v>
      </c>
      <c r="D25" s="93">
        <f>'2'!D8-'2'!D12</f>
        <v>13403945292</v>
      </c>
      <c r="E25" s="93">
        <f>'2'!E8-'2'!E12</f>
        <v>-5476231283</v>
      </c>
      <c r="F25" s="93">
        <f>'2'!F8-'2'!F12</f>
        <v>78736912880.679993</v>
      </c>
      <c r="G25" s="93">
        <f>'2'!G8-'2'!G12</f>
        <v>112541805112.92999</v>
      </c>
    </row>
    <row r="26" spans="1:7" s="24" customFormat="1" x14ac:dyDescent="0.2">
      <c r="A26" s="24" t="s">
        <v>91</v>
      </c>
      <c r="B26" s="168"/>
      <c r="C26" s="168"/>
      <c r="D26" s="168"/>
      <c r="E26" s="168"/>
      <c r="F26" s="168"/>
      <c r="G26" s="168"/>
    </row>
    <row r="27" spans="1:7" s="24" customFormat="1" x14ac:dyDescent="0.2">
      <c r="A27" s="14"/>
      <c r="B27" s="168"/>
      <c r="C27" s="168"/>
      <c r="D27" s="168"/>
      <c r="E27" s="168"/>
      <c r="F27" s="168"/>
      <c r="G27" s="168"/>
    </row>
    <row r="28" spans="1:7" s="24" customFormat="1" x14ac:dyDescent="0.2">
      <c r="A28" s="34"/>
      <c r="B28" s="168"/>
      <c r="C28" s="168"/>
      <c r="D28" s="168"/>
      <c r="E28" s="168"/>
      <c r="F28" s="168"/>
      <c r="G28" s="168"/>
    </row>
    <row r="29" spans="1:7" s="24" customFormat="1" x14ac:dyDescent="0.2">
      <c r="A29" s="34"/>
      <c r="B29" s="168"/>
      <c r="C29" s="168"/>
      <c r="D29" s="168"/>
      <c r="E29" s="168"/>
      <c r="F29" s="168"/>
      <c r="G29" s="168"/>
    </row>
    <row r="30" spans="1:7" s="24" customFormat="1" x14ac:dyDescent="0.2">
      <c r="A30" s="34"/>
      <c r="B30" s="168"/>
      <c r="C30" s="168"/>
      <c r="D30" s="168"/>
      <c r="E30" s="168"/>
      <c r="F30" s="168"/>
      <c r="G30" s="168"/>
    </row>
    <row r="31" spans="1:7" s="24" customFormat="1" x14ac:dyDescent="0.2">
      <c r="A31" s="34"/>
      <c r="B31" s="168"/>
      <c r="C31" s="168"/>
      <c r="D31" s="168"/>
      <c r="E31" s="168"/>
      <c r="F31" s="168"/>
      <c r="G31" s="168"/>
    </row>
    <row r="32" spans="1:7" s="24" customFormat="1" x14ac:dyDescent="0.2">
      <c r="A32" s="34"/>
      <c r="B32" s="168"/>
      <c r="C32" s="168"/>
      <c r="D32" s="168"/>
      <c r="E32" s="168"/>
      <c r="F32" s="168"/>
      <c r="G32" s="168"/>
    </row>
    <row r="33" spans="1:7" s="24" customFormat="1" x14ac:dyDescent="0.2">
      <c r="A33" s="34"/>
      <c r="B33" s="168"/>
      <c r="C33" s="168"/>
      <c r="D33" s="168"/>
      <c r="E33" s="168"/>
      <c r="F33" s="168"/>
      <c r="G33" s="168"/>
    </row>
    <row r="34" spans="1:7" s="24" customFormat="1" x14ac:dyDescent="0.2">
      <c r="A34" s="34"/>
      <c r="B34" s="168"/>
      <c r="C34" s="168"/>
      <c r="D34" s="168"/>
      <c r="E34" s="168"/>
      <c r="F34" s="168"/>
      <c r="G34" s="168"/>
    </row>
    <row r="35" spans="1:7" s="24" customFormat="1" x14ac:dyDescent="0.2">
      <c r="A35" s="34"/>
      <c r="B35" s="168"/>
      <c r="C35" s="168"/>
      <c r="D35" s="168"/>
      <c r="E35" s="168"/>
      <c r="F35" s="168"/>
      <c r="G35" s="168"/>
    </row>
    <row r="36" spans="1:7" s="24" customFormat="1" x14ac:dyDescent="0.2">
      <c r="A36" s="34"/>
      <c r="B36" s="168"/>
      <c r="C36" s="168"/>
      <c r="D36" s="168"/>
      <c r="E36" s="168"/>
      <c r="F36" s="168"/>
      <c r="G36" s="168"/>
    </row>
    <row r="37" spans="1:7" s="24" customFormat="1" x14ac:dyDescent="0.2">
      <c r="A37" s="34"/>
      <c r="B37" s="168"/>
      <c r="C37" s="168"/>
      <c r="D37" s="168"/>
      <c r="E37" s="168"/>
      <c r="F37" s="168"/>
      <c r="G37" s="168"/>
    </row>
    <row r="38" spans="1:7" s="24" customFormat="1" x14ac:dyDescent="0.2">
      <c r="A38" s="34"/>
      <c r="B38" s="168"/>
      <c r="C38" s="168"/>
      <c r="D38" s="168"/>
      <c r="E38" s="168"/>
      <c r="F38" s="168"/>
      <c r="G38" s="168"/>
    </row>
    <row r="39" spans="1:7" s="24" customFormat="1" x14ac:dyDescent="0.2">
      <c r="A39" s="34"/>
      <c r="B39" s="168"/>
      <c r="C39" s="168"/>
      <c r="D39" s="168"/>
      <c r="E39" s="168"/>
      <c r="F39" s="168"/>
      <c r="G39" s="168"/>
    </row>
    <row r="40" spans="1:7" s="24" customFormat="1" x14ac:dyDescent="0.2">
      <c r="A40" s="34"/>
      <c r="B40" s="168"/>
      <c r="C40" s="168"/>
      <c r="D40" s="168"/>
      <c r="E40" s="168"/>
      <c r="F40" s="168"/>
      <c r="G40" s="168"/>
    </row>
    <row r="41" spans="1:7" s="24" customFormat="1" x14ac:dyDescent="0.2">
      <c r="A41" s="34"/>
      <c r="B41" s="168"/>
      <c r="C41" s="168"/>
      <c r="D41" s="168"/>
      <c r="E41" s="168"/>
      <c r="F41" s="168"/>
      <c r="G41" s="168"/>
    </row>
    <row r="42" spans="1:7" s="24" customFormat="1" x14ac:dyDescent="0.2">
      <c r="A42" s="34"/>
      <c r="B42" s="168"/>
      <c r="C42" s="168"/>
      <c r="D42" s="168"/>
      <c r="E42" s="168"/>
      <c r="F42" s="168"/>
      <c r="G42" s="168"/>
    </row>
    <row r="43" spans="1:7" s="24" customFormat="1" x14ac:dyDescent="0.2">
      <c r="A43" s="34"/>
      <c r="B43" s="168"/>
      <c r="C43" s="168"/>
      <c r="D43" s="168"/>
      <c r="E43" s="168"/>
      <c r="F43" s="168"/>
      <c r="G43" s="168"/>
    </row>
    <row r="44" spans="1:7" s="24" customFormat="1" x14ac:dyDescent="0.2">
      <c r="A44" s="34"/>
      <c r="B44" s="168"/>
      <c r="C44" s="168"/>
      <c r="D44" s="168"/>
      <c r="E44" s="168"/>
      <c r="F44" s="168"/>
      <c r="G44" s="168"/>
    </row>
    <row r="45" spans="1:7" s="24" customFormat="1" x14ac:dyDescent="0.2">
      <c r="A45" s="34"/>
      <c r="B45" s="168"/>
      <c r="C45" s="168"/>
      <c r="D45" s="168"/>
      <c r="E45" s="168"/>
      <c r="F45" s="168"/>
      <c r="G45" s="168"/>
    </row>
    <row r="46" spans="1:7" s="24" customFormat="1" x14ac:dyDescent="0.2">
      <c r="A46" s="34"/>
      <c r="B46" s="168"/>
      <c r="C46" s="168"/>
      <c r="D46" s="168"/>
      <c r="E46" s="168"/>
      <c r="F46" s="168"/>
      <c r="G46" s="168"/>
    </row>
    <row r="47" spans="1:7" s="24" customFormat="1" x14ac:dyDescent="0.2">
      <c r="A47" s="34"/>
      <c r="B47" s="168"/>
      <c r="C47" s="168"/>
      <c r="D47" s="168"/>
      <c r="E47" s="168"/>
      <c r="F47" s="168"/>
      <c r="G47" s="168"/>
    </row>
    <row r="48" spans="1:7" s="24" customFormat="1" x14ac:dyDescent="0.2">
      <c r="A48" s="34"/>
      <c r="B48" s="168"/>
      <c r="C48" s="168"/>
      <c r="D48" s="168"/>
      <c r="E48" s="168"/>
      <c r="F48" s="168"/>
      <c r="G48" s="168"/>
    </row>
    <row r="49" spans="1:7" s="24" customFormat="1" x14ac:dyDescent="0.2">
      <c r="A49" s="34"/>
      <c r="B49" s="168"/>
      <c r="C49" s="168"/>
      <c r="D49" s="168"/>
      <c r="E49" s="168"/>
      <c r="F49" s="168"/>
      <c r="G49" s="168"/>
    </row>
    <row r="50" spans="1:7" s="24" customFormat="1" x14ac:dyDescent="0.2">
      <c r="A50" s="34"/>
      <c r="B50" s="168"/>
      <c r="C50" s="168"/>
      <c r="D50" s="168"/>
      <c r="E50" s="168"/>
      <c r="F50" s="168"/>
      <c r="G50" s="168"/>
    </row>
    <row r="51" spans="1:7" s="24" customFormat="1" x14ac:dyDescent="0.2">
      <c r="A51" s="34"/>
      <c r="B51" s="168"/>
      <c r="C51" s="168"/>
      <c r="D51" s="168"/>
      <c r="E51" s="168"/>
      <c r="F51" s="168"/>
      <c r="G51" s="168"/>
    </row>
    <row r="52" spans="1:7" s="24" customFormat="1" x14ac:dyDescent="0.2">
      <c r="A52" s="34"/>
      <c r="B52" s="168"/>
      <c r="C52" s="168"/>
      <c r="D52" s="168"/>
      <c r="E52" s="168"/>
      <c r="F52" s="168"/>
      <c r="G52" s="168"/>
    </row>
    <row r="53" spans="1:7" s="24" customFormat="1" x14ac:dyDescent="0.2">
      <c r="A53" s="34"/>
      <c r="B53" s="168"/>
      <c r="C53" s="168"/>
      <c r="D53" s="168"/>
      <c r="E53" s="168"/>
      <c r="F53" s="168"/>
      <c r="G53" s="168"/>
    </row>
    <row r="54" spans="1:7" s="24" customFormat="1" x14ac:dyDescent="0.2">
      <c r="A54" s="34"/>
      <c r="B54" s="168"/>
      <c r="C54" s="168"/>
      <c r="D54" s="168"/>
      <c r="E54" s="168"/>
      <c r="F54" s="168"/>
      <c r="G54" s="168"/>
    </row>
    <row r="55" spans="1:7" s="24" customFormat="1" x14ac:dyDescent="0.2">
      <c r="A55" s="34"/>
      <c r="B55" s="168"/>
      <c r="C55" s="168"/>
      <c r="D55" s="168"/>
      <c r="E55" s="168"/>
      <c r="F55" s="168"/>
      <c r="G55" s="168"/>
    </row>
    <row r="56" spans="1:7" s="24" customFormat="1" x14ac:dyDescent="0.2">
      <c r="A56" s="34"/>
      <c r="B56" s="168"/>
      <c r="C56" s="168"/>
      <c r="D56" s="168"/>
      <c r="E56" s="168"/>
      <c r="F56" s="168"/>
      <c r="G56" s="168"/>
    </row>
    <row r="57" spans="1:7" s="24" customFormat="1" x14ac:dyDescent="0.2">
      <c r="A57" s="34"/>
      <c r="B57" s="168"/>
      <c r="C57" s="168"/>
      <c r="D57" s="168"/>
      <c r="E57" s="168"/>
      <c r="F57" s="168"/>
      <c r="G57" s="168"/>
    </row>
    <row r="58" spans="1:7" s="24" customFormat="1" x14ac:dyDescent="0.2">
      <c r="A58" s="34"/>
      <c r="B58" s="168"/>
      <c r="C58" s="168"/>
      <c r="D58" s="168"/>
      <c r="E58" s="168"/>
      <c r="F58" s="168"/>
      <c r="G58" s="168"/>
    </row>
    <row r="59" spans="1:7" s="24" customFormat="1" x14ac:dyDescent="0.2">
      <c r="A59" s="34"/>
      <c r="B59" s="168"/>
      <c r="C59" s="168"/>
      <c r="D59" s="168"/>
      <c r="E59" s="168"/>
      <c r="F59" s="168"/>
      <c r="G59" s="168"/>
    </row>
    <row r="60" spans="1:7" s="24" customFormat="1" x14ac:dyDescent="0.2">
      <c r="A60" s="34"/>
      <c r="B60" s="168"/>
      <c r="C60" s="168"/>
      <c r="D60" s="168"/>
      <c r="E60" s="168"/>
      <c r="F60" s="168"/>
      <c r="G60" s="168"/>
    </row>
    <row r="61" spans="1:7" s="24" customFormat="1" x14ac:dyDescent="0.2">
      <c r="A61" s="34"/>
      <c r="B61" s="168"/>
      <c r="C61" s="168"/>
      <c r="D61" s="168"/>
      <c r="E61" s="168"/>
      <c r="F61" s="168"/>
      <c r="G61" s="168"/>
    </row>
    <row r="62" spans="1:7" s="24" customFormat="1" x14ac:dyDescent="0.2">
      <c r="A62" s="34"/>
      <c r="B62" s="168"/>
      <c r="C62" s="168"/>
      <c r="D62" s="168"/>
      <c r="E62" s="168"/>
      <c r="F62" s="168"/>
      <c r="G62" s="168"/>
    </row>
    <row r="63" spans="1:7" s="24" customFormat="1" x14ac:dyDescent="0.2">
      <c r="A63" s="34"/>
      <c r="B63" s="168"/>
      <c r="C63" s="168"/>
      <c r="D63" s="168"/>
      <c r="E63" s="168"/>
      <c r="F63" s="168"/>
      <c r="G63" s="168"/>
    </row>
    <row r="64" spans="1:7" s="24" customFormat="1" ht="12.75" customHeight="1" x14ac:dyDescent="0.2">
      <c r="A64" s="34"/>
      <c r="B64" s="168"/>
      <c r="C64" s="168"/>
      <c r="D64" s="168"/>
      <c r="E64" s="168"/>
      <c r="F64" s="168"/>
      <c r="G64" s="168"/>
    </row>
    <row r="65" spans="1:7" s="24" customFormat="1" ht="12.75" customHeight="1" x14ac:dyDescent="0.2">
      <c r="A65" s="34"/>
      <c r="B65" s="168"/>
      <c r="C65" s="168"/>
      <c r="D65" s="168"/>
      <c r="E65" s="168"/>
      <c r="F65" s="168"/>
      <c r="G65" s="168"/>
    </row>
    <row r="66" spans="1:7" s="24" customFormat="1" ht="12.75" customHeight="1" x14ac:dyDescent="0.2">
      <c r="A66" s="34"/>
      <c r="B66" s="168"/>
      <c r="C66" s="168"/>
      <c r="D66" s="168"/>
      <c r="E66" s="168"/>
      <c r="F66" s="168"/>
      <c r="G66" s="168"/>
    </row>
    <row r="67" spans="1:7" s="24" customFormat="1" ht="20.100000000000001" customHeight="1" x14ac:dyDescent="0.2">
      <c r="A67" s="34"/>
      <c r="B67" s="168"/>
      <c r="C67" s="168"/>
      <c r="D67" s="168"/>
      <c r="E67" s="168"/>
      <c r="F67" s="168"/>
      <c r="G67" s="168"/>
    </row>
    <row r="68" spans="1:7" s="24" customFormat="1" x14ac:dyDescent="0.2">
      <c r="A68" s="34"/>
      <c r="B68" s="168"/>
      <c r="C68" s="168"/>
      <c r="D68" s="168"/>
      <c r="E68" s="168"/>
      <c r="F68" s="168"/>
      <c r="G68" s="168"/>
    </row>
    <row r="69" spans="1:7" s="24" customFormat="1" ht="12.75" customHeight="1" x14ac:dyDescent="0.2">
      <c r="A69" s="34"/>
      <c r="B69" s="168"/>
      <c r="C69" s="168"/>
      <c r="D69" s="168"/>
      <c r="E69" s="168"/>
      <c r="F69" s="168"/>
      <c r="G69" s="168"/>
    </row>
    <row r="70" spans="1:7" s="24" customFormat="1" ht="42.6" customHeight="1" x14ac:dyDescent="0.2">
      <c r="A70" s="34"/>
      <c r="B70" s="168"/>
      <c r="C70" s="168"/>
      <c r="D70" s="168"/>
      <c r="E70" s="168"/>
      <c r="F70" s="168"/>
      <c r="G70" s="168"/>
    </row>
    <row r="71" spans="1:7" s="24" customFormat="1" x14ac:dyDescent="0.2">
      <c r="A71" s="34"/>
      <c r="B71" s="168"/>
      <c r="C71" s="168"/>
      <c r="D71" s="168"/>
      <c r="E71" s="168"/>
      <c r="F71" s="168"/>
      <c r="G71" s="168"/>
    </row>
    <row r="72" spans="1:7" s="24" customFormat="1" x14ac:dyDescent="0.2">
      <c r="A72" s="34"/>
      <c r="B72" s="168"/>
      <c r="C72" s="168"/>
      <c r="D72" s="168"/>
      <c r="E72" s="168"/>
      <c r="F72" s="168"/>
      <c r="G72" s="168"/>
    </row>
    <row r="73" spans="1:7" s="24" customFormat="1" x14ac:dyDescent="0.2">
      <c r="A73" s="34"/>
      <c r="B73" s="168"/>
      <c r="C73" s="168"/>
      <c r="D73" s="168"/>
      <c r="E73" s="168"/>
      <c r="F73" s="168"/>
      <c r="G73" s="168"/>
    </row>
    <row r="74" spans="1:7" s="24" customFormat="1" x14ac:dyDescent="0.2">
      <c r="A74" s="34"/>
      <c r="B74" s="168"/>
      <c r="C74" s="168"/>
      <c r="D74" s="168"/>
      <c r="E74" s="168"/>
      <c r="F74" s="168"/>
      <c r="G74" s="168"/>
    </row>
    <row r="75" spans="1:7" s="24" customFormat="1" x14ac:dyDescent="0.2">
      <c r="A75" s="34"/>
      <c r="B75" s="168"/>
      <c r="C75" s="168"/>
      <c r="D75" s="168"/>
      <c r="E75" s="168"/>
      <c r="F75" s="168"/>
      <c r="G75" s="168"/>
    </row>
    <row r="76" spans="1:7" s="24" customFormat="1" x14ac:dyDescent="0.2">
      <c r="A76" s="34"/>
      <c r="B76" s="168"/>
      <c r="C76" s="168"/>
      <c r="D76" s="168"/>
      <c r="E76" s="168"/>
      <c r="F76" s="168"/>
      <c r="G76" s="168"/>
    </row>
    <row r="77" spans="1:7" s="24" customFormat="1" x14ac:dyDescent="0.2">
      <c r="A77" s="34"/>
      <c r="B77" s="168"/>
      <c r="C77" s="168"/>
      <c r="D77" s="168"/>
      <c r="E77" s="168"/>
      <c r="F77" s="168"/>
      <c r="G77" s="168"/>
    </row>
    <row r="78" spans="1:7" s="24" customFormat="1" x14ac:dyDescent="0.2">
      <c r="B78" s="168"/>
      <c r="C78" s="168"/>
      <c r="D78" s="168"/>
      <c r="E78" s="168"/>
      <c r="F78" s="168"/>
      <c r="G78" s="168"/>
    </row>
    <row r="79" spans="1:7" s="24" customFormat="1" x14ac:dyDescent="0.2">
      <c r="F79" s="168"/>
      <c r="G79" s="168"/>
    </row>
    <row r="80" spans="1:7" s="24" customFormat="1" x14ac:dyDescent="0.2">
      <c r="F80" s="168"/>
      <c r="G80" s="168"/>
    </row>
    <row r="81" spans="1:7" s="24" customFormat="1" x14ac:dyDescent="0.2">
      <c r="F81" s="168"/>
      <c r="G81" s="168"/>
    </row>
    <row r="82" spans="1:7" s="24" customFormat="1" x14ac:dyDescent="0.2">
      <c r="F82" s="168"/>
      <c r="G82" s="168"/>
    </row>
    <row r="83" spans="1:7" s="24" customFormat="1" x14ac:dyDescent="0.2">
      <c r="F83" s="168"/>
      <c r="G83" s="168"/>
    </row>
    <row r="84" spans="1:7" s="24" customFormat="1" x14ac:dyDescent="0.2">
      <c r="A84" s="34"/>
      <c r="B84" s="169"/>
      <c r="C84" s="169"/>
      <c r="F84" s="168"/>
      <c r="G84" s="168"/>
    </row>
    <row r="85" spans="1:7" s="24" customFormat="1" x14ac:dyDescent="0.2">
      <c r="F85" s="168"/>
      <c r="G85" s="168"/>
    </row>
    <row r="86" spans="1:7" s="24" customFormat="1" x14ac:dyDescent="0.2">
      <c r="A86" s="36"/>
      <c r="B86" s="170"/>
      <c r="C86" s="170"/>
      <c r="F86" s="168"/>
      <c r="G86" s="168"/>
    </row>
    <row r="87" spans="1:7" s="24" customFormat="1" x14ac:dyDescent="0.2">
      <c r="A87" s="36"/>
      <c r="B87" s="170"/>
      <c r="C87" s="170"/>
      <c r="D87" s="169"/>
      <c r="E87" s="169"/>
      <c r="F87" s="168"/>
      <c r="G87" s="168"/>
    </row>
    <row r="88" spans="1:7" s="24" customFormat="1" x14ac:dyDescent="0.2">
      <c r="D88" s="169"/>
      <c r="E88" s="169"/>
      <c r="F88" s="168"/>
      <c r="G88" s="168"/>
    </row>
    <row r="89" spans="1:7" s="24" customFormat="1" x14ac:dyDescent="0.2">
      <c r="A89" s="34"/>
      <c r="B89" s="169"/>
      <c r="C89" s="169"/>
      <c r="D89" s="169"/>
      <c r="E89" s="169"/>
      <c r="F89" s="168"/>
      <c r="G89" s="168"/>
    </row>
    <row r="90" spans="1:7" s="24" customFormat="1" x14ac:dyDescent="0.2">
      <c r="A90" s="36"/>
      <c r="B90" s="169"/>
      <c r="C90" s="169"/>
      <c r="F90" s="168"/>
      <c r="G90" s="168"/>
    </row>
    <row r="91" spans="1:7" s="24" customFormat="1" x14ac:dyDescent="0.2">
      <c r="A91" s="36"/>
      <c r="B91" s="169"/>
      <c r="C91" s="169"/>
      <c r="F91" s="168"/>
      <c r="G91" s="168"/>
    </row>
    <row r="92" spans="1:7" s="24" customFormat="1" x14ac:dyDescent="0.2">
      <c r="F92" s="168"/>
      <c r="G92" s="168"/>
    </row>
    <row r="93" spans="1:7" s="24" customFormat="1" x14ac:dyDescent="0.2">
      <c r="F93" s="168"/>
      <c r="G93" s="168"/>
    </row>
    <row r="94" spans="1:7" s="24" customFormat="1" x14ac:dyDescent="0.2">
      <c r="F94" s="168"/>
      <c r="G94" s="168"/>
    </row>
    <row r="95" spans="1:7" s="24" customFormat="1" x14ac:dyDescent="0.2">
      <c r="F95" s="168"/>
      <c r="G95" s="168"/>
    </row>
    <row r="96" spans="1:7" s="24" customFormat="1" x14ac:dyDescent="0.2">
      <c r="F96" s="168"/>
      <c r="G96" s="168"/>
    </row>
    <row r="97" spans="1:7" s="24" customFormat="1" x14ac:dyDescent="0.2">
      <c r="F97" s="168"/>
      <c r="G97" s="168"/>
    </row>
    <row r="98" spans="1:7" s="24" customFormat="1" x14ac:dyDescent="0.2">
      <c r="F98" s="168"/>
      <c r="G98" s="168"/>
    </row>
    <row r="99" spans="1:7" s="24" customFormat="1" x14ac:dyDescent="0.2">
      <c r="F99" s="168"/>
      <c r="G99" s="168"/>
    </row>
    <row r="100" spans="1:7" s="24" customFormat="1" x14ac:dyDescent="0.2">
      <c r="D100" s="153"/>
      <c r="E100" s="153"/>
    </row>
    <row r="101" spans="1:7" s="24" customFormat="1" x14ac:dyDescent="0.2">
      <c r="D101" s="63"/>
      <c r="E101" s="63"/>
    </row>
    <row r="102" spans="1:7" s="24" customFormat="1" x14ac:dyDescent="0.2">
      <c r="D102" s="171"/>
      <c r="E102" s="171"/>
    </row>
    <row r="103" spans="1:7" s="24" customFormat="1" x14ac:dyDescent="0.2">
      <c r="A103" s="172"/>
      <c r="B103" s="173"/>
      <c r="C103" s="173"/>
      <c r="D103" s="173"/>
    </row>
    <row r="104" spans="1:7" s="24" customFormat="1" x14ac:dyDescent="0.2">
      <c r="A104" s="34"/>
      <c r="B104" s="174"/>
      <c r="C104" s="174"/>
      <c r="D104" s="174"/>
      <c r="E104" s="172"/>
    </row>
    <row r="105" spans="1:7" s="24" customFormat="1" x14ac:dyDescent="0.2">
      <c r="A105" s="36"/>
      <c r="B105" s="175"/>
      <c r="C105" s="175"/>
      <c r="D105" s="174"/>
      <c r="E105" s="174"/>
    </row>
    <row r="106" spans="1:7" s="24" customFormat="1" x14ac:dyDescent="0.2">
      <c r="A106" s="36"/>
      <c r="B106" s="169"/>
      <c r="C106" s="169"/>
      <c r="D106" s="173"/>
      <c r="E106" s="173"/>
    </row>
    <row r="107" spans="1:7" s="24" customFormat="1" x14ac:dyDescent="0.2">
      <c r="A107" s="38"/>
      <c r="B107" s="173"/>
      <c r="C107" s="173"/>
      <c r="D107" s="173"/>
      <c r="E107" s="173"/>
    </row>
    <row r="108" spans="1:7" s="24" customFormat="1" x14ac:dyDescent="0.2">
      <c r="A108" s="36"/>
      <c r="B108" s="173"/>
      <c r="C108" s="173"/>
      <c r="D108" s="173"/>
      <c r="E108" s="173"/>
    </row>
    <row r="109" spans="1:7" s="24" customFormat="1" x14ac:dyDescent="0.2">
      <c r="A109" s="34"/>
      <c r="B109" s="174"/>
      <c r="C109" s="174"/>
      <c r="D109" s="174"/>
      <c r="E109" s="174"/>
    </row>
    <row r="110" spans="1:7" s="24" customFormat="1" x14ac:dyDescent="0.2">
      <c r="A110" s="36"/>
      <c r="B110" s="173"/>
      <c r="C110" s="173"/>
      <c r="D110" s="173"/>
      <c r="E110" s="173"/>
    </row>
    <row r="111" spans="1:7" s="24" customFormat="1" x14ac:dyDescent="0.2">
      <c r="A111" s="36"/>
      <c r="B111" s="173"/>
      <c r="C111" s="173"/>
      <c r="D111" s="173"/>
      <c r="E111" s="173"/>
    </row>
    <row r="112" spans="1:7" s="24" customFormat="1" x14ac:dyDescent="0.2">
      <c r="A112" s="34"/>
      <c r="B112" s="174"/>
      <c r="C112" s="174"/>
      <c r="D112" s="174"/>
      <c r="E112" s="174"/>
    </row>
    <row r="113" spans="1:5" s="24" customFormat="1" x14ac:dyDescent="0.2">
      <c r="A113" s="36"/>
      <c r="B113" s="173"/>
      <c r="C113" s="173"/>
      <c r="D113" s="173"/>
      <c r="E113" s="173"/>
    </row>
    <row r="114" spans="1:5" s="24" customFormat="1" x14ac:dyDescent="0.2">
      <c r="A114" s="36"/>
      <c r="B114" s="173"/>
      <c r="C114" s="173"/>
      <c r="D114" s="173"/>
      <c r="E114" s="173"/>
    </row>
    <row r="115" spans="1:5" s="24" customFormat="1" x14ac:dyDescent="0.2">
      <c r="A115" s="34"/>
      <c r="B115" s="174"/>
      <c r="C115" s="174"/>
      <c r="D115" s="174"/>
      <c r="E115" s="174"/>
    </row>
    <row r="116" spans="1:5" s="24" customFormat="1" x14ac:dyDescent="0.2">
      <c r="A116" s="36"/>
      <c r="B116" s="173"/>
      <c r="C116" s="173"/>
      <c r="D116" s="173"/>
      <c r="E116" s="173"/>
    </row>
    <row r="117" spans="1:5" s="24" customFormat="1" x14ac:dyDescent="0.2">
      <c r="A117" s="34"/>
      <c r="B117" s="174"/>
      <c r="C117" s="174"/>
      <c r="D117" s="174"/>
      <c r="E117" s="174"/>
    </row>
    <row r="118" spans="1:5" s="24" customFormat="1" x14ac:dyDescent="0.2">
      <c r="A118" s="36"/>
      <c r="B118" s="173"/>
      <c r="C118" s="173"/>
      <c r="D118" s="173"/>
      <c r="E118" s="173"/>
    </row>
    <row r="119" spans="1:5" s="24" customFormat="1" x14ac:dyDescent="0.2">
      <c r="A119" s="36"/>
      <c r="B119" s="173"/>
      <c r="C119" s="173"/>
      <c r="D119" s="173"/>
      <c r="E119" s="173"/>
    </row>
    <row r="120" spans="1:5" s="24" customFormat="1" x14ac:dyDescent="0.2">
      <c r="A120" s="34"/>
      <c r="B120" s="84"/>
      <c r="C120" s="84"/>
      <c r="D120" s="84"/>
      <c r="E120" s="84"/>
    </row>
    <row r="121" spans="1:5" s="24" customFormat="1" x14ac:dyDescent="0.2">
      <c r="A121" s="38"/>
      <c r="B121" s="84"/>
      <c r="C121" s="84"/>
      <c r="D121" s="84"/>
      <c r="E121" s="84"/>
    </row>
    <row r="122" spans="1:5" s="24" customFormat="1" x14ac:dyDescent="0.2"/>
    <row r="123" spans="1:5" s="24" customFormat="1" x14ac:dyDescent="0.2">
      <c r="E123" s="36"/>
    </row>
    <row r="124" spans="1:5" s="24" customFormat="1" x14ac:dyDescent="0.2">
      <c r="E124" s="36"/>
    </row>
    <row r="125" spans="1:5" s="24" customFormat="1" x14ac:dyDescent="0.2"/>
    <row r="126" spans="1:5" s="24" customFormat="1" x14ac:dyDescent="0.2"/>
    <row r="127" spans="1:5" s="24" customFormat="1" x14ac:dyDescent="0.2">
      <c r="B127" s="36"/>
      <c r="C127" s="170"/>
    </row>
    <row r="128" spans="1:5" s="24" customFormat="1" x14ac:dyDescent="0.2">
      <c r="B128" s="36"/>
      <c r="C128" s="170"/>
    </row>
    <row r="129" s="24" customFormat="1" x14ac:dyDescent="0.2"/>
    <row r="130" s="24" customFormat="1" x14ac:dyDescent="0.2"/>
    <row r="131" s="24" customFormat="1" x14ac:dyDescent="0.2"/>
    <row r="132" s="24" customFormat="1" x14ac:dyDescent="0.2"/>
    <row r="133" s="24" customFormat="1" x14ac:dyDescent="0.2"/>
    <row r="134" s="24" customFormat="1" x14ac:dyDescent="0.2"/>
    <row r="135" s="24" customFormat="1" x14ac:dyDescent="0.2"/>
    <row r="136" s="24" customFormat="1" x14ac:dyDescent="0.2"/>
    <row r="137" s="24" customFormat="1" x14ac:dyDescent="0.2"/>
    <row r="138" s="24" customFormat="1" x14ac:dyDescent="0.2"/>
    <row r="139" s="24" customFormat="1" x14ac:dyDescent="0.2"/>
    <row r="140" s="24" customFormat="1" x14ac:dyDescent="0.2"/>
    <row r="141" s="24" customFormat="1" x14ac:dyDescent="0.2"/>
    <row r="142" s="24" customFormat="1" x14ac:dyDescent="0.2"/>
    <row r="143" s="24" customFormat="1" x14ac:dyDescent="0.2"/>
    <row r="144" s="24" customFormat="1" x14ac:dyDescent="0.2"/>
    <row r="145" spans="2:3" s="24" customFormat="1" x14ac:dyDescent="0.2">
      <c r="B145" s="38"/>
      <c r="C145" s="176"/>
    </row>
    <row r="146" spans="2:3" s="24" customFormat="1" x14ac:dyDescent="0.2"/>
    <row r="147" spans="2:3" s="24" customFormat="1" x14ac:dyDescent="0.2"/>
    <row r="148" spans="2:3" s="24" customFormat="1" x14ac:dyDescent="0.2"/>
    <row r="149" spans="2:3" s="24" customFormat="1" x14ac:dyDescent="0.2"/>
    <row r="150" spans="2:3" s="24" customFormat="1" x14ac:dyDescent="0.2"/>
    <row r="151" spans="2:3" s="24" customFormat="1" x14ac:dyDescent="0.2"/>
    <row r="152" spans="2:3" s="24" customFormat="1" x14ac:dyDescent="0.2"/>
    <row r="153" spans="2:3" s="24" customFormat="1" x14ac:dyDescent="0.2"/>
    <row r="154" spans="2:3" s="24" customFormat="1" x14ac:dyDescent="0.2"/>
    <row r="155" spans="2:3" s="24" customFormat="1" x14ac:dyDescent="0.2"/>
    <row r="156" spans="2:3" s="24" customFormat="1" x14ac:dyDescent="0.2"/>
    <row r="157" spans="2:3" s="24" customFormat="1" x14ac:dyDescent="0.2"/>
    <row r="158" spans="2:3" s="24" customFormat="1" x14ac:dyDescent="0.2"/>
    <row r="159" spans="2:3" s="24" customFormat="1" x14ac:dyDescent="0.2"/>
    <row r="160" spans="2:3" s="24" customFormat="1" x14ac:dyDescent="0.2"/>
    <row r="161" s="24" customFormat="1" x14ac:dyDescent="0.2"/>
    <row r="162" s="24" customFormat="1" ht="15" customHeight="1" x14ac:dyDescent="0.2"/>
    <row r="163" s="24" customFormat="1" x14ac:dyDescent="0.2"/>
    <row r="164" s="24" customFormat="1" x14ac:dyDescent="0.2"/>
    <row r="165" s="24" customFormat="1" x14ac:dyDescent="0.2"/>
    <row r="166" s="24" customFormat="1" x14ac:dyDescent="0.2"/>
    <row r="167" s="24" customFormat="1" x14ac:dyDescent="0.2"/>
    <row r="168" s="24" customFormat="1" x14ac:dyDescent="0.2"/>
    <row r="169" s="24" customFormat="1" x14ac:dyDescent="0.2"/>
    <row r="170" s="24" customFormat="1" x14ac:dyDescent="0.2"/>
    <row r="171" s="24" customFormat="1" x14ac:dyDescent="0.2"/>
    <row r="172" s="24" customFormat="1" x14ac:dyDescent="0.2"/>
    <row r="173" s="24" customFormat="1" x14ac:dyDescent="0.2"/>
    <row r="174" s="24" customFormat="1" x14ac:dyDescent="0.2"/>
    <row r="175" s="24" customFormat="1" x14ac:dyDescent="0.2"/>
    <row r="176" s="24" customFormat="1" x14ac:dyDescent="0.2"/>
    <row r="177" s="24" customFormat="1" x14ac:dyDescent="0.2"/>
    <row r="178" s="24" customFormat="1" x14ac:dyDescent="0.2"/>
    <row r="179" s="24" customFormat="1" x14ac:dyDescent="0.2"/>
    <row r="180" s="24" customFormat="1" x14ac:dyDescent="0.2"/>
    <row r="181" s="24" customFormat="1" x14ac:dyDescent="0.2"/>
    <row r="182" s="24" customFormat="1" x14ac:dyDescent="0.2"/>
    <row r="183" s="24" customFormat="1" x14ac:dyDescent="0.2"/>
    <row r="184" s="24" customFormat="1" x14ac:dyDescent="0.2"/>
    <row r="185" s="24" customFormat="1" x14ac:dyDescent="0.2"/>
    <row r="186" s="24" customFormat="1" x14ac:dyDescent="0.2"/>
    <row r="187" s="24" customFormat="1" x14ac:dyDescent="0.2"/>
    <row r="188" s="24" customFormat="1" x14ac:dyDescent="0.2"/>
    <row r="189" s="24" customFormat="1" x14ac:dyDescent="0.2"/>
    <row r="190" s="24" customFormat="1" x14ac:dyDescent="0.2"/>
    <row r="191" s="24" customFormat="1" x14ac:dyDescent="0.2"/>
    <row r="192" s="24" customFormat="1" x14ac:dyDescent="0.2"/>
    <row r="193" s="24" customFormat="1" x14ac:dyDescent="0.2"/>
    <row r="194" s="24" customFormat="1" x14ac:dyDescent="0.2"/>
    <row r="195" s="24" customFormat="1" x14ac:dyDescent="0.2"/>
    <row r="196" s="24" customFormat="1" x14ac:dyDescent="0.2"/>
    <row r="197" s="24" customFormat="1" x14ac:dyDescent="0.2"/>
    <row r="198" s="24" customFormat="1" x14ac:dyDescent="0.2"/>
    <row r="199" s="24" customFormat="1" x14ac:dyDescent="0.2"/>
    <row r="200" s="24" customFormat="1" x14ac:dyDescent="0.2"/>
    <row r="201" s="24" customFormat="1" x14ac:dyDescent="0.2"/>
    <row r="202" s="24" customFormat="1" x14ac:dyDescent="0.2"/>
    <row r="203" s="24" customFormat="1" x14ac:dyDescent="0.2"/>
    <row r="204" s="24" customFormat="1" x14ac:dyDescent="0.2"/>
    <row r="205" s="24" customFormat="1" x14ac:dyDescent="0.2"/>
    <row r="206" s="24" customFormat="1" x14ac:dyDescent="0.2"/>
    <row r="207" s="24" customFormat="1" x14ac:dyDescent="0.2"/>
    <row r="208" s="24" customFormat="1" x14ac:dyDescent="0.2"/>
    <row r="209" s="24" customFormat="1" x14ac:dyDescent="0.2"/>
    <row r="210" s="24" customFormat="1" x14ac:dyDescent="0.2"/>
    <row r="211" s="24" customFormat="1" x14ac:dyDescent="0.2"/>
    <row r="212" s="24" customFormat="1" x14ac:dyDescent="0.2"/>
    <row r="213" s="24" customFormat="1" x14ac:dyDescent="0.2"/>
    <row r="214" s="24" customFormat="1" x14ac:dyDescent="0.2"/>
    <row r="215" s="24" customFormat="1" x14ac:dyDescent="0.2"/>
    <row r="216" s="24" customFormat="1" x14ac:dyDescent="0.2"/>
    <row r="217" s="24" customFormat="1" x14ac:dyDescent="0.2"/>
    <row r="218" s="24" customFormat="1" x14ac:dyDescent="0.2"/>
    <row r="219" s="24" customFormat="1" x14ac:dyDescent="0.2"/>
    <row r="220" s="24" customFormat="1" x14ac:dyDescent="0.2"/>
    <row r="221" s="24" customFormat="1" x14ac:dyDescent="0.2"/>
    <row r="222" s="24" customFormat="1" x14ac:dyDescent="0.2"/>
    <row r="223" s="24" customFormat="1" x14ac:dyDescent="0.2"/>
    <row r="224" s="24" customFormat="1" x14ac:dyDescent="0.2"/>
    <row r="225" s="24" customFormat="1" x14ac:dyDescent="0.2"/>
    <row r="226" s="24" customFormat="1" x14ac:dyDescent="0.2"/>
    <row r="227" s="24" customFormat="1" x14ac:dyDescent="0.2"/>
    <row r="228" s="24" customFormat="1" x14ac:dyDescent="0.2"/>
    <row r="229" s="24" customFormat="1" x14ac:dyDescent="0.2"/>
    <row r="230" s="24" customFormat="1" x14ac:dyDescent="0.2"/>
    <row r="231" s="24" customFormat="1" x14ac:dyDescent="0.2"/>
    <row r="232" s="24" customFormat="1" x14ac:dyDescent="0.2"/>
    <row r="233" s="24" customFormat="1" x14ac:dyDescent="0.2"/>
    <row r="234" s="24" customFormat="1" x14ac:dyDescent="0.2"/>
    <row r="235" s="24" customFormat="1" x14ac:dyDescent="0.2"/>
    <row r="236" s="24" customFormat="1" x14ac:dyDescent="0.2"/>
    <row r="237" s="24" customFormat="1" x14ac:dyDescent="0.2"/>
    <row r="238" s="24" customFormat="1" x14ac:dyDescent="0.2"/>
    <row r="239" s="24" customFormat="1" x14ac:dyDescent="0.2"/>
    <row r="240" s="24" customFormat="1" x14ac:dyDescent="0.2"/>
    <row r="241" s="24" customFormat="1" x14ac:dyDescent="0.2"/>
    <row r="242" s="24" customFormat="1" x14ac:dyDescent="0.2"/>
    <row r="243" s="24" customFormat="1" x14ac:dyDescent="0.2"/>
    <row r="244" s="24" customFormat="1" x14ac:dyDescent="0.2"/>
    <row r="245" s="24" customFormat="1" x14ac:dyDescent="0.2"/>
    <row r="246" s="24" customFormat="1" x14ac:dyDescent="0.2"/>
    <row r="247" s="24" customFormat="1" x14ac:dyDescent="0.2"/>
    <row r="248" s="24" customFormat="1" x14ac:dyDescent="0.2"/>
    <row r="249" s="24" customFormat="1" x14ac:dyDescent="0.2"/>
    <row r="250" s="24" customFormat="1" x14ac:dyDescent="0.2"/>
    <row r="251" s="24" customFormat="1" x14ac:dyDescent="0.2"/>
    <row r="252" s="24" customFormat="1" x14ac:dyDescent="0.2"/>
    <row r="253" s="24" customFormat="1" x14ac:dyDescent="0.2"/>
    <row r="254" s="24" customFormat="1" x14ac:dyDescent="0.2"/>
    <row r="255" s="24" customFormat="1" x14ac:dyDescent="0.2"/>
    <row r="256" s="24" customFormat="1" x14ac:dyDescent="0.2"/>
    <row r="257" spans="1:1" x14ac:dyDescent="0.2">
      <c r="A257" s="83"/>
    </row>
    <row r="258" spans="1:1" x14ac:dyDescent="0.2">
      <c r="A258" s="83"/>
    </row>
    <row r="259" spans="1:1" x14ac:dyDescent="0.2">
      <c r="A259" s="83"/>
    </row>
    <row r="260" spans="1:1" x14ac:dyDescent="0.2">
      <c r="A260" s="83"/>
    </row>
    <row r="261" spans="1:1" x14ac:dyDescent="0.2">
      <c r="A261" s="83"/>
    </row>
    <row r="262" spans="1:1" x14ac:dyDescent="0.2">
      <c r="A262" s="83"/>
    </row>
    <row r="263" spans="1:1" x14ac:dyDescent="0.2">
      <c r="A263" s="83"/>
    </row>
    <row r="264" spans="1:1" x14ac:dyDescent="0.2">
      <c r="A264" s="83"/>
    </row>
    <row r="265" spans="1:1" x14ac:dyDescent="0.2">
      <c r="A265" s="83"/>
    </row>
    <row r="266" spans="1:1" x14ac:dyDescent="0.2">
      <c r="A266" s="83"/>
    </row>
    <row r="267" spans="1:1" x14ac:dyDescent="0.2">
      <c r="A267" s="83"/>
    </row>
    <row r="268" spans="1:1" x14ac:dyDescent="0.2">
      <c r="A268" s="83"/>
    </row>
    <row r="269" spans="1:1" x14ac:dyDescent="0.2">
      <c r="A269" s="83"/>
    </row>
    <row r="270" spans="1:1" x14ac:dyDescent="0.2">
      <c r="A270" s="83"/>
    </row>
    <row r="271" spans="1:1" x14ac:dyDescent="0.2">
      <c r="A271" s="83"/>
    </row>
    <row r="272" spans="1:1" x14ac:dyDescent="0.2">
      <c r="A272" s="83"/>
    </row>
    <row r="273" spans="1:1" x14ac:dyDescent="0.2">
      <c r="A273" s="83"/>
    </row>
    <row r="274" spans="1:1" x14ac:dyDescent="0.2">
      <c r="A274" s="83"/>
    </row>
    <row r="275" spans="1:1" x14ac:dyDescent="0.2">
      <c r="A275" s="83"/>
    </row>
    <row r="276" spans="1:1" x14ac:dyDescent="0.2">
      <c r="A276" s="83"/>
    </row>
    <row r="277" spans="1:1" x14ac:dyDescent="0.2">
      <c r="A277" s="83"/>
    </row>
    <row r="278" spans="1:1" x14ac:dyDescent="0.2">
      <c r="A278" s="83"/>
    </row>
    <row r="279" spans="1:1" x14ac:dyDescent="0.2">
      <c r="A279" s="83"/>
    </row>
    <row r="280" spans="1:1" x14ac:dyDescent="0.2">
      <c r="A280" s="83"/>
    </row>
    <row r="281" spans="1:1" x14ac:dyDescent="0.2">
      <c r="A281" s="83"/>
    </row>
    <row r="282" spans="1:1" x14ac:dyDescent="0.2">
      <c r="A282" s="83"/>
    </row>
    <row r="283" spans="1:1" x14ac:dyDescent="0.2">
      <c r="A283" s="83"/>
    </row>
    <row r="284" spans="1:1" x14ac:dyDescent="0.2">
      <c r="A284" s="83"/>
    </row>
    <row r="285" spans="1:1" x14ac:dyDescent="0.2">
      <c r="A285" s="83"/>
    </row>
    <row r="286" spans="1:1" x14ac:dyDescent="0.2">
      <c r="A286" s="83"/>
    </row>
    <row r="287" spans="1:1" x14ac:dyDescent="0.2">
      <c r="A287" s="83"/>
    </row>
    <row r="288" spans="1:1" x14ac:dyDescent="0.2">
      <c r="A288" s="83"/>
    </row>
    <row r="289" spans="1:1" x14ac:dyDescent="0.2">
      <c r="A289" s="83"/>
    </row>
    <row r="290" spans="1:1" x14ac:dyDescent="0.2">
      <c r="A290" s="83"/>
    </row>
    <row r="291" spans="1:1" x14ac:dyDescent="0.2">
      <c r="A291" s="83"/>
    </row>
    <row r="292" spans="1:1" x14ac:dyDescent="0.2">
      <c r="A292" s="83"/>
    </row>
    <row r="293" spans="1:1" x14ac:dyDescent="0.2">
      <c r="A293" s="83"/>
    </row>
    <row r="294" spans="1:1" x14ac:dyDescent="0.2">
      <c r="A294" s="83"/>
    </row>
    <row r="295" spans="1:1" x14ac:dyDescent="0.2">
      <c r="A295" s="83"/>
    </row>
    <row r="296" spans="1:1" x14ac:dyDescent="0.2">
      <c r="A296" s="83"/>
    </row>
    <row r="297" spans="1:1" x14ac:dyDescent="0.2">
      <c r="A297" s="83"/>
    </row>
    <row r="298" spans="1:1" x14ac:dyDescent="0.2">
      <c r="A298" s="83"/>
    </row>
    <row r="299" spans="1:1" x14ac:dyDescent="0.2">
      <c r="A299" s="83"/>
    </row>
    <row r="300" spans="1:1" x14ac:dyDescent="0.2">
      <c r="A300" s="83"/>
    </row>
    <row r="301" spans="1:1" x14ac:dyDescent="0.2">
      <c r="A301" s="83"/>
    </row>
    <row r="302" spans="1:1" x14ac:dyDescent="0.2">
      <c r="A302" s="83"/>
    </row>
    <row r="303" spans="1:1" x14ac:dyDescent="0.2">
      <c r="A303" s="83"/>
    </row>
    <row r="304" spans="1:1" x14ac:dyDescent="0.2">
      <c r="A304" s="83"/>
    </row>
    <row r="305" spans="1:1" x14ac:dyDescent="0.2">
      <c r="A305" s="83"/>
    </row>
    <row r="306" spans="1:1" x14ac:dyDescent="0.2">
      <c r="A306" s="83"/>
    </row>
    <row r="307" spans="1:1" x14ac:dyDescent="0.2">
      <c r="A307" s="83"/>
    </row>
    <row r="308" spans="1:1" x14ac:dyDescent="0.2">
      <c r="A308" s="83"/>
    </row>
    <row r="309" spans="1:1" x14ac:dyDescent="0.2">
      <c r="A309" s="83"/>
    </row>
    <row r="310" spans="1:1" x14ac:dyDescent="0.2">
      <c r="A310" s="83"/>
    </row>
    <row r="311" spans="1:1" x14ac:dyDescent="0.2">
      <c r="A311" s="83"/>
    </row>
    <row r="312" spans="1:1" x14ac:dyDescent="0.2">
      <c r="A312" s="83"/>
    </row>
    <row r="313" spans="1:1" x14ac:dyDescent="0.2">
      <c r="A313" s="83"/>
    </row>
    <row r="314" spans="1:1" x14ac:dyDescent="0.2">
      <c r="A314" s="83"/>
    </row>
    <row r="315" spans="1:1" x14ac:dyDescent="0.2">
      <c r="A315" s="83"/>
    </row>
    <row r="316" spans="1:1" x14ac:dyDescent="0.2">
      <c r="A316" s="83"/>
    </row>
    <row r="317" spans="1:1" x14ac:dyDescent="0.2">
      <c r="A317" s="83"/>
    </row>
    <row r="318" spans="1:1" x14ac:dyDescent="0.2">
      <c r="A318" s="83"/>
    </row>
    <row r="319" spans="1:1" x14ac:dyDescent="0.2">
      <c r="A319" s="83"/>
    </row>
    <row r="320" spans="1:1" x14ac:dyDescent="0.2">
      <c r="A320" s="83"/>
    </row>
    <row r="321" spans="1:1" x14ac:dyDescent="0.2">
      <c r="A321" s="83"/>
    </row>
    <row r="322" spans="1:1" x14ac:dyDescent="0.2">
      <c r="A322" s="83"/>
    </row>
    <row r="323" spans="1:1" x14ac:dyDescent="0.2">
      <c r="A323" s="83"/>
    </row>
    <row r="324" spans="1:1" x14ac:dyDescent="0.2">
      <c r="A324" s="83"/>
    </row>
    <row r="325" spans="1:1" x14ac:dyDescent="0.2">
      <c r="A325" s="83"/>
    </row>
    <row r="326" spans="1:1" x14ac:dyDescent="0.2">
      <c r="A326" s="83"/>
    </row>
    <row r="327" spans="1:1" x14ac:dyDescent="0.2">
      <c r="A327" s="83"/>
    </row>
    <row r="328" spans="1:1" x14ac:dyDescent="0.2">
      <c r="A328" s="83"/>
    </row>
    <row r="329" spans="1:1" x14ac:dyDescent="0.2">
      <c r="A329" s="83"/>
    </row>
    <row r="330" spans="1:1" x14ac:dyDescent="0.2">
      <c r="A330" s="83"/>
    </row>
    <row r="331" spans="1:1" x14ac:dyDescent="0.2">
      <c r="A331" s="83"/>
    </row>
    <row r="332" spans="1:1" x14ac:dyDescent="0.2">
      <c r="A332" s="83"/>
    </row>
    <row r="333" spans="1:1" x14ac:dyDescent="0.2">
      <c r="A333" s="83"/>
    </row>
    <row r="334" spans="1:1" x14ac:dyDescent="0.2">
      <c r="A334" s="83"/>
    </row>
    <row r="335" spans="1:1" x14ac:dyDescent="0.2">
      <c r="A335" s="83"/>
    </row>
    <row r="336" spans="1:1" x14ac:dyDescent="0.2">
      <c r="A336" s="83"/>
    </row>
    <row r="337" spans="1:1" x14ac:dyDescent="0.2">
      <c r="A337" s="83"/>
    </row>
    <row r="338" spans="1:1" x14ac:dyDescent="0.2">
      <c r="A338" s="83"/>
    </row>
    <row r="339" spans="1:1" x14ac:dyDescent="0.2">
      <c r="A339" s="83"/>
    </row>
    <row r="340" spans="1:1" x14ac:dyDescent="0.2">
      <c r="A340" s="83"/>
    </row>
    <row r="341" spans="1:1" x14ac:dyDescent="0.2">
      <c r="A341" s="83"/>
    </row>
    <row r="342" spans="1:1" x14ac:dyDescent="0.2">
      <c r="A342" s="83"/>
    </row>
    <row r="343" spans="1:1" x14ac:dyDescent="0.2">
      <c r="A343" s="83"/>
    </row>
    <row r="344" spans="1:1" x14ac:dyDescent="0.2">
      <c r="A344" s="83"/>
    </row>
    <row r="345" spans="1:1" x14ac:dyDescent="0.2">
      <c r="A345" s="83"/>
    </row>
    <row r="346" spans="1:1" x14ac:dyDescent="0.2">
      <c r="A346" s="83"/>
    </row>
    <row r="347" spans="1:1" x14ac:dyDescent="0.2">
      <c r="A347" s="83"/>
    </row>
    <row r="348" spans="1:1" x14ac:dyDescent="0.2">
      <c r="A348" s="83"/>
    </row>
    <row r="349" spans="1:1" x14ac:dyDescent="0.2">
      <c r="A349" s="83"/>
    </row>
    <row r="350" spans="1:1" x14ac:dyDescent="0.2">
      <c r="A350" s="83"/>
    </row>
    <row r="351" spans="1:1" x14ac:dyDescent="0.2">
      <c r="A351" s="83"/>
    </row>
    <row r="352" spans="1:1" x14ac:dyDescent="0.2">
      <c r="A352" s="83"/>
    </row>
    <row r="353" spans="1:1" x14ac:dyDescent="0.2">
      <c r="A353" s="83"/>
    </row>
    <row r="354" spans="1:1" x14ac:dyDescent="0.2">
      <c r="A354" s="83"/>
    </row>
    <row r="355" spans="1:1" x14ac:dyDescent="0.2">
      <c r="A355" s="83"/>
    </row>
    <row r="356" spans="1:1" x14ac:dyDescent="0.2">
      <c r="A356" s="83"/>
    </row>
    <row r="357" spans="1:1" x14ac:dyDescent="0.2">
      <c r="A357" s="83"/>
    </row>
    <row r="358" spans="1:1" x14ac:dyDescent="0.2">
      <c r="A358" s="83"/>
    </row>
    <row r="359" spans="1:1" x14ac:dyDescent="0.2">
      <c r="A359" s="83"/>
    </row>
    <row r="360" spans="1:1" x14ac:dyDescent="0.2">
      <c r="A360" s="83"/>
    </row>
    <row r="361" spans="1:1" x14ac:dyDescent="0.2">
      <c r="A361" s="83"/>
    </row>
    <row r="362" spans="1:1" x14ac:dyDescent="0.2">
      <c r="A362" s="83"/>
    </row>
    <row r="363" spans="1:1" x14ac:dyDescent="0.2">
      <c r="A363" s="83"/>
    </row>
    <row r="364" spans="1:1" x14ac:dyDescent="0.2">
      <c r="A364" s="83"/>
    </row>
    <row r="365" spans="1:1" x14ac:dyDescent="0.2">
      <c r="A365" s="83"/>
    </row>
    <row r="366" spans="1:1" x14ac:dyDescent="0.2">
      <c r="A366" s="83"/>
    </row>
    <row r="367" spans="1:1" x14ac:dyDescent="0.2">
      <c r="A367" s="83"/>
    </row>
    <row r="368" spans="1:1" x14ac:dyDescent="0.2">
      <c r="A368" s="83"/>
    </row>
    <row r="369" spans="1:1" x14ac:dyDescent="0.2">
      <c r="A369" s="83"/>
    </row>
    <row r="370" spans="1:1" x14ac:dyDescent="0.2">
      <c r="A370" s="83"/>
    </row>
    <row r="371" spans="1:1" x14ac:dyDescent="0.2">
      <c r="A371" s="83"/>
    </row>
    <row r="372" spans="1:1" x14ac:dyDescent="0.2">
      <c r="A372" s="83"/>
    </row>
    <row r="373" spans="1:1" x14ac:dyDescent="0.2">
      <c r="A373" s="83"/>
    </row>
    <row r="374" spans="1:1" x14ac:dyDescent="0.2">
      <c r="A374" s="83"/>
    </row>
    <row r="375" spans="1:1" x14ac:dyDescent="0.2">
      <c r="A375" s="83"/>
    </row>
    <row r="376" spans="1:1" x14ac:dyDescent="0.2">
      <c r="A376" s="83"/>
    </row>
    <row r="377" spans="1:1" x14ac:dyDescent="0.2">
      <c r="A377" s="83"/>
    </row>
    <row r="378" spans="1:1" x14ac:dyDescent="0.2">
      <c r="A378" s="83"/>
    </row>
    <row r="379" spans="1:1" x14ac:dyDescent="0.2">
      <c r="A379" s="83"/>
    </row>
    <row r="380" spans="1:1" x14ac:dyDescent="0.2">
      <c r="A380" s="83"/>
    </row>
    <row r="381" spans="1:1" x14ac:dyDescent="0.2">
      <c r="A381" s="83"/>
    </row>
    <row r="382" spans="1:1" x14ac:dyDescent="0.2">
      <c r="A382" s="83"/>
    </row>
    <row r="383" spans="1:1" x14ac:dyDescent="0.2">
      <c r="A383" s="83"/>
    </row>
    <row r="384" spans="1:1" x14ac:dyDescent="0.2">
      <c r="A384" s="83"/>
    </row>
    <row r="385" spans="1:1" x14ac:dyDescent="0.2">
      <c r="A385" s="83"/>
    </row>
    <row r="386" spans="1:1" x14ac:dyDescent="0.2">
      <c r="A386" s="83"/>
    </row>
    <row r="387" spans="1:1" x14ac:dyDescent="0.2">
      <c r="A387" s="83"/>
    </row>
    <row r="388" spans="1:1" x14ac:dyDescent="0.2">
      <c r="A388" s="83"/>
    </row>
    <row r="389" spans="1:1" x14ac:dyDescent="0.2">
      <c r="A389" s="83"/>
    </row>
    <row r="390" spans="1:1" x14ac:dyDescent="0.2">
      <c r="A390" s="83"/>
    </row>
    <row r="391" spans="1:1" x14ac:dyDescent="0.2">
      <c r="A391" s="83"/>
    </row>
    <row r="392" spans="1:1" x14ac:dyDescent="0.2">
      <c r="A392" s="83"/>
    </row>
    <row r="393" spans="1:1" x14ac:dyDescent="0.2">
      <c r="A393" s="83"/>
    </row>
    <row r="394" spans="1:1" x14ac:dyDescent="0.2">
      <c r="A394" s="83"/>
    </row>
    <row r="395" spans="1:1" x14ac:dyDescent="0.2">
      <c r="A395" s="83"/>
    </row>
    <row r="396" spans="1:1" x14ac:dyDescent="0.2">
      <c r="A396" s="83"/>
    </row>
    <row r="397" spans="1:1" x14ac:dyDescent="0.2">
      <c r="A397" s="83"/>
    </row>
    <row r="398" spans="1:1" x14ac:dyDescent="0.2">
      <c r="A398" s="83"/>
    </row>
    <row r="399" spans="1:1" x14ac:dyDescent="0.2">
      <c r="A399" s="83"/>
    </row>
    <row r="400" spans="1:1" x14ac:dyDescent="0.2">
      <c r="A400" s="83"/>
    </row>
    <row r="401" spans="1:1" x14ac:dyDescent="0.2">
      <c r="A401" s="83"/>
    </row>
    <row r="402" spans="1:1" x14ac:dyDescent="0.2">
      <c r="A402" s="83"/>
    </row>
    <row r="403" spans="1:1" x14ac:dyDescent="0.2">
      <c r="A403" s="83"/>
    </row>
    <row r="404" spans="1:1" x14ac:dyDescent="0.2">
      <c r="A404" s="83"/>
    </row>
    <row r="405" spans="1:1" x14ac:dyDescent="0.2">
      <c r="A405" s="83"/>
    </row>
    <row r="406" spans="1:1" x14ac:dyDescent="0.2">
      <c r="A406" s="83"/>
    </row>
    <row r="407" spans="1:1" x14ac:dyDescent="0.2">
      <c r="A407" s="83"/>
    </row>
    <row r="408" spans="1:1" x14ac:dyDescent="0.2">
      <c r="A408" s="83"/>
    </row>
    <row r="409" spans="1:1" x14ac:dyDescent="0.2">
      <c r="A409" s="83"/>
    </row>
    <row r="410" spans="1:1" x14ac:dyDescent="0.2">
      <c r="A410" s="83"/>
    </row>
    <row r="411" spans="1:1" x14ac:dyDescent="0.2">
      <c r="A411" s="83"/>
    </row>
    <row r="412" spans="1:1" x14ac:dyDescent="0.2">
      <c r="A412" s="83"/>
    </row>
    <row r="413" spans="1:1" x14ac:dyDescent="0.2">
      <c r="A413" s="83"/>
    </row>
    <row r="414" spans="1:1" x14ac:dyDescent="0.2">
      <c r="A414" s="83"/>
    </row>
    <row r="415" spans="1:1" x14ac:dyDescent="0.2">
      <c r="A415" s="83"/>
    </row>
    <row r="416" spans="1:1" x14ac:dyDescent="0.2">
      <c r="A416" s="83"/>
    </row>
    <row r="417" spans="1:1" x14ac:dyDescent="0.2">
      <c r="A417" s="83"/>
    </row>
    <row r="418" spans="1:1" x14ac:dyDescent="0.2">
      <c r="A418" s="83"/>
    </row>
    <row r="419" spans="1:1" x14ac:dyDescent="0.2">
      <c r="A419" s="83"/>
    </row>
    <row r="420" spans="1:1" x14ac:dyDescent="0.2">
      <c r="A420" s="83"/>
    </row>
    <row r="421" spans="1:1" x14ac:dyDescent="0.2">
      <c r="A421" s="83"/>
    </row>
    <row r="422" spans="1:1" x14ac:dyDescent="0.2">
      <c r="A422" s="83"/>
    </row>
    <row r="423" spans="1:1" x14ac:dyDescent="0.2">
      <c r="A423" s="83"/>
    </row>
    <row r="424" spans="1:1" x14ac:dyDescent="0.2">
      <c r="A424" s="83"/>
    </row>
    <row r="425" spans="1:1" x14ac:dyDescent="0.2">
      <c r="A425" s="83"/>
    </row>
    <row r="426" spans="1:1" x14ac:dyDescent="0.2">
      <c r="A426" s="83"/>
    </row>
    <row r="427" spans="1:1" x14ac:dyDescent="0.2">
      <c r="A427" s="83"/>
    </row>
    <row r="428" spans="1:1" x14ac:dyDescent="0.2">
      <c r="A428" s="83"/>
    </row>
    <row r="429" spans="1:1" x14ac:dyDescent="0.2">
      <c r="A429" s="83"/>
    </row>
    <row r="430" spans="1:1" x14ac:dyDescent="0.2">
      <c r="A430" s="83"/>
    </row>
    <row r="431" spans="1:1" x14ac:dyDescent="0.2">
      <c r="A431" s="83"/>
    </row>
    <row r="432" spans="1:1" x14ac:dyDescent="0.2">
      <c r="A432" s="83"/>
    </row>
    <row r="433" spans="1:1" x14ac:dyDescent="0.2">
      <c r="A433" s="83"/>
    </row>
    <row r="434" spans="1:1" x14ac:dyDescent="0.2">
      <c r="A434" s="83"/>
    </row>
    <row r="435" spans="1:1" x14ac:dyDescent="0.2">
      <c r="A435" s="83"/>
    </row>
    <row r="436" spans="1:1" x14ac:dyDescent="0.2">
      <c r="A436" s="83"/>
    </row>
    <row r="437" spans="1:1" x14ac:dyDescent="0.2">
      <c r="A437" s="83"/>
    </row>
    <row r="438" spans="1:1" x14ac:dyDescent="0.2">
      <c r="A438" s="83"/>
    </row>
    <row r="439" spans="1:1" x14ac:dyDescent="0.2">
      <c r="A439" s="83"/>
    </row>
    <row r="440" spans="1:1" x14ac:dyDescent="0.2">
      <c r="A440" s="83"/>
    </row>
    <row r="441" spans="1:1" x14ac:dyDescent="0.2">
      <c r="A441" s="83"/>
    </row>
    <row r="442" spans="1:1" x14ac:dyDescent="0.2">
      <c r="A442" s="83"/>
    </row>
    <row r="443" spans="1:1" x14ac:dyDescent="0.2">
      <c r="A443" s="83"/>
    </row>
    <row r="444" spans="1:1" x14ac:dyDescent="0.2">
      <c r="A444" s="83"/>
    </row>
    <row r="445" spans="1:1" x14ac:dyDescent="0.2">
      <c r="A445" s="83"/>
    </row>
    <row r="446" spans="1:1" x14ac:dyDescent="0.2">
      <c r="A446" s="83"/>
    </row>
    <row r="447" spans="1:1" x14ac:dyDescent="0.2">
      <c r="A447" s="83"/>
    </row>
    <row r="448" spans="1:1" x14ac:dyDescent="0.2">
      <c r="A448" s="83"/>
    </row>
    <row r="449" spans="1:1" x14ac:dyDescent="0.2">
      <c r="A449" s="83"/>
    </row>
    <row r="450" spans="1:1" x14ac:dyDescent="0.2">
      <c r="A450" s="83"/>
    </row>
    <row r="451" spans="1:1" x14ac:dyDescent="0.2">
      <c r="A451" s="83"/>
    </row>
    <row r="452" spans="1:1" x14ac:dyDescent="0.2">
      <c r="A452" s="83"/>
    </row>
    <row r="453" spans="1:1" x14ac:dyDescent="0.2">
      <c r="A453" s="83"/>
    </row>
    <row r="454" spans="1:1" x14ac:dyDescent="0.2">
      <c r="A454" s="83"/>
    </row>
    <row r="455" spans="1:1" x14ac:dyDescent="0.2">
      <c r="A455" s="83"/>
    </row>
    <row r="456" spans="1:1" x14ac:dyDescent="0.2">
      <c r="A456" s="83"/>
    </row>
    <row r="457" spans="1:1" x14ac:dyDescent="0.2">
      <c r="A457" s="83"/>
    </row>
    <row r="458" spans="1:1" x14ac:dyDescent="0.2">
      <c r="A458" s="83"/>
    </row>
    <row r="459" spans="1:1" x14ac:dyDescent="0.2">
      <c r="A459" s="83"/>
    </row>
    <row r="460" spans="1:1" x14ac:dyDescent="0.2">
      <c r="A460" s="83"/>
    </row>
    <row r="461" spans="1:1" x14ac:dyDescent="0.2">
      <c r="A461" s="83"/>
    </row>
    <row r="462" spans="1:1" x14ac:dyDescent="0.2">
      <c r="A462" s="83"/>
    </row>
    <row r="463" spans="1:1" x14ac:dyDescent="0.2">
      <c r="A463" s="83"/>
    </row>
    <row r="464" spans="1:1" x14ac:dyDescent="0.2">
      <c r="A464" s="83"/>
    </row>
    <row r="465" spans="1:1" x14ac:dyDescent="0.2">
      <c r="A465" s="83"/>
    </row>
    <row r="466" spans="1:1" x14ac:dyDescent="0.2">
      <c r="A466" s="83"/>
    </row>
    <row r="467" spans="1:1" x14ac:dyDescent="0.2">
      <c r="A467" s="83"/>
    </row>
    <row r="468" spans="1:1" x14ac:dyDescent="0.2">
      <c r="A468" s="83"/>
    </row>
    <row r="469" spans="1:1" x14ac:dyDescent="0.2">
      <c r="A469" s="83"/>
    </row>
    <row r="470" spans="1:1" x14ac:dyDescent="0.2">
      <c r="A470" s="83"/>
    </row>
    <row r="471" spans="1:1" x14ac:dyDescent="0.2">
      <c r="A471" s="83"/>
    </row>
    <row r="472" spans="1:1" x14ac:dyDescent="0.2">
      <c r="A472" s="83"/>
    </row>
    <row r="473" spans="1:1" x14ac:dyDescent="0.2">
      <c r="A473" s="83"/>
    </row>
    <row r="474" spans="1:1" x14ac:dyDescent="0.2">
      <c r="A474" s="83"/>
    </row>
    <row r="475" spans="1:1" x14ac:dyDescent="0.2">
      <c r="A475" s="83"/>
    </row>
    <row r="476" spans="1:1" x14ac:dyDescent="0.2">
      <c r="A476" s="83"/>
    </row>
    <row r="477" spans="1:1" x14ac:dyDescent="0.2">
      <c r="A477" s="83"/>
    </row>
    <row r="478" spans="1:1" x14ac:dyDescent="0.2">
      <c r="A478" s="83"/>
    </row>
    <row r="479" spans="1:1" x14ac:dyDescent="0.2">
      <c r="A479" s="83"/>
    </row>
    <row r="480" spans="1:1" x14ac:dyDescent="0.2">
      <c r="A480" s="83"/>
    </row>
    <row r="481" spans="1:1" x14ac:dyDescent="0.2">
      <c r="A481" s="83"/>
    </row>
    <row r="482" spans="1:1" x14ac:dyDescent="0.2">
      <c r="A482" s="83"/>
    </row>
    <row r="483" spans="1:1" x14ac:dyDescent="0.2">
      <c r="A483" s="83"/>
    </row>
    <row r="484" spans="1:1" x14ac:dyDescent="0.2">
      <c r="A484" s="83"/>
    </row>
    <row r="485" spans="1:1" x14ac:dyDescent="0.2">
      <c r="A485" s="83"/>
    </row>
    <row r="486" spans="1:1" x14ac:dyDescent="0.2">
      <c r="A486" s="83"/>
    </row>
    <row r="487" spans="1:1" x14ac:dyDescent="0.2">
      <c r="A487" s="83"/>
    </row>
    <row r="488" spans="1:1" x14ac:dyDescent="0.2">
      <c r="A488" s="83"/>
    </row>
    <row r="489" spans="1:1" x14ac:dyDescent="0.2">
      <c r="A489" s="83"/>
    </row>
    <row r="490" spans="1:1" x14ac:dyDescent="0.2">
      <c r="A490" s="83"/>
    </row>
    <row r="491" spans="1:1" x14ac:dyDescent="0.2">
      <c r="A491" s="83"/>
    </row>
    <row r="492" spans="1:1" x14ac:dyDescent="0.2">
      <c r="A492" s="83"/>
    </row>
    <row r="493" spans="1:1" x14ac:dyDescent="0.2">
      <c r="A493" s="83"/>
    </row>
    <row r="494" spans="1:1" x14ac:dyDescent="0.2">
      <c r="A494" s="83"/>
    </row>
    <row r="495" spans="1:1" x14ac:dyDescent="0.2">
      <c r="A495" s="83"/>
    </row>
    <row r="496" spans="1:1" x14ac:dyDescent="0.2">
      <c r="A496" s="83"/>
    </row>
    <row r="497" spans="1:1" x14ac:dyDescent="0.2">
      <c r="A497" s="83"/>
    </row>
    <row r="498" spans="1:1" x14ac:dyDescent="0.2">
      <c r="A498" s="83"/>
    </row>
    <row r="499" spans="1:1" x14ac:dyDescent="0.2">
      <c r="A499" s="83"/>
    </row>
    <row r="500" spans="1:1" x14ac:dyDescent="0.2">
      <c r="A500" s="83"/>
    </row>
    <row r="501" spans="1:1" x14ac:dyDescent="0.2">
      <c r="A501" s="83"/>
    </row>
    <row r="502" spans="1:1" x14ac:dyDescent="0.2">
      <c r="A502" s="83"/>
    </row>
    <row r="503" spans="1:1" x14ac:dyDescent="0.2">
      <c r="A503" s="83"/>
    </row>
    <row r="504" spans="1:1" x14ac:dyDescent="0.2">
      <c r="A504" s="83"/>
    </row>
    <row r="505" spans="1:1" x14ac:dyDescent="0.2">
      <c r="A505" s="83"/>
    </row>
    <row r="506" spans="1:1" x14ac:dyDescent="0.2">
      <c r="A506" s="83"/>
    </row>
    <row r="507" spans="1:1" x14ac:dyDescent="0.2">
      <c r="A507" s="83"/>
    </row>
    <row r="508" spans="1:1" x14ac:dyDescent="0.2">
      <c r="A508" s="83"/>
    </row>
    <row r="509" spans="1:1" x14ac:dyDescent="0.2">
      <c r="A509" s="83"/>
    </row>
    <row r="510" spans="1:1" x14ac:dyDescent="0.2">
      <c r="A510" s="83"/>
    </row>
    <row r="511" spans="1:1" x14ac:dyDescent="0.2">
      <c r="A511" s="83"/>
    </row>
    <row r="512" spans="1:1" x14ac:dyDescent="0.2">
      <c r="A512" s="83"/>
    </row>
    <row r="513" spans="1:1" x14ac:dyDescent="0.2">
      <c r="A513" s="83"/>
    </row>
    <row r="514" spans="1:1" x14ac:dyDescent="0.2">
      <c r="A514" s="83"/>
    </row>
    <row r="515" spans="1:1" x14ac:dyDescent="0.2">
      <c r="A515" s="83"/>
    </row>
    <row r="516" spans="1:1" x14ac:dyDescent="0.2">
      <c r="A516" s="83"/>
    </row>
    <row r="517" spans="1:1" x14ac:dyDescent="0.2">
      <c r="A517" s="83"/>
    </row>
    <row r="518" spans="1:1" x14ac:dyDescent="0.2">
      <c r="A518" s="83"/>
    </row>
    <row r="519" spans="1:1" x14ac:dyDescent="0.2">
      <c r="A519" s="83"/>
    </row>
    <row r="520" spans="1:1" x14ac:dyDescent="0.2">
      <c r="A520" s="83"/>
    </row>
    <row r="521" spans="1:1" x14ac:dyDescent="0.2">
      <c r="A521" s="83"/>
    </row>
    <row r="522" spans="1:1" x14ac:dyDescent="0.2">
      <c r="A522" s="83"/>
    </row>
  </sheetData>
  <mergeCells count="5">
    <mergeCell ref="D4:E4"/>
    <mergeCell ref="A4:A5"/>
    <mergeCell ref="B4:C4"/>
    <mergeCell ref="F4:G4"/>
    <mergeCell ref="A2:G2"/>
  </mergeCells>
  <phoneticPr fontId="0" type="noConversion"/>
  <pageMargins left="1.6535433070866143" right="0.94488188976377963" top="0.9055118110236221" bottom="0.39370078740157483" header="0" footer="0"/>
  <pageSetup paperSize="45" scale="90" orientation="landscape" horizont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AFAE6-8CEF-4292-8B89-5DF4758ED3BA}">
  <sheetPr codeName="Hoja21">
    <pageSetUpPr fitToPage="1"/>
  </sheetPr>
  <dimension ref="A1:XFC55"/>
  <sheetViews>
    <sheetView tabSelected="1" zoomScale="110" zoomScaleNormal="110" workbookViewId="0">
      <selection activeCell="A23" sqref="A23"/>
    </sheetView>
  </sheetViews>
  <sheetFormatPr baseColWidth="10" defaultColWidth="0" defaultRowHeight="12.75" customHeight="1" zeroHeight="1" x14ac:dyDescent="0.2"/>
  <cols>
    <col min="1" max="1" width="113.42578125" style="266" customWidth="1"/>
    <col min="2" max="2" width="11.42578125" style="266" hidden="1" customWidth="1"/>
    <col min="3" max="16381" width="11.42578125" style="266" hidden="1"/>
    <col min="16382" max="16382" width="11.42578125" style="266" hidden="1" customWidth="1"/>
    <col min="16383" max="16383" width="11.42578125" style="266" hidden="1"/>
    <col min="16384" max="16384" width="1.140625" style="266" hidden="1"/>
  </cols>
  <sheetData>
    <row r="1" s="266" customFormat="1" x14ac:dyDescent="0.2"/>
    <row r="2" s="266" customFormat="1" x14ac:dyDescent="0.2"/>
    <row r="3" s="266" customFormat="1" x14ac:dyDescent="0.2"/>
    <row r="4" s="266" customFormat="1" x14ac:dyDescent="0.2"/>
    <row r="5" s="266" customFormat="1" x14ac:dyDescent="0.2"/>
    <row r="6" s="266" customFormat="1" x14ac:dyDescent="0.2"/>
    <row r="7" s="266" customFormat="1" x14ac:dyDescent="0.2"/>
    <row r="8" s="266" customFormat="1" x14ac:dyDescent="0.2"/>
    <row r="9" s="266" customFormat="1" x14ac:dyDescent="0.2"/>
    <row r="10" s="266" customFormat="1" x14ac:dyDescent="0.2"/>
    <row r="11" s="266" customFormat="1" x14ac:dyDescent="0.2"/>
    <row r="12" s="266" customFormat="1" x14ac:dyDescent="0.2"/>
    <row r="13" s="266" customFormat="1" x14ac:dyDescent="0.2"/>
    <row r="14" s="266" customFormat="1" x14ac:dyDescent="0.2"/>
    <row r="15" s="266" customFormat="1" x14ac:dyDescent="0.2"/>
    <row r="16" s="266" customFormat="1" x14ac:dyDescent="0.2"/>
    <row r="17" s="266" customFormat="1" x14ac:dyDescent="0.2"/>
    <row r="18" s="266" customFormat="1" x14ac:dyDescent="0.2"/>
    <row r="19" s="266" customFormat="1" x14ac:dyDescent="0.2"/>
    <row r="20" s="266" customFormat="1" x14ac:dyDescent="0.2"/>
    <row r="21" s="266" customFormat="1" x14ac:dyDescent="0.2"/>
    <row r="22" s="266" customFormat="1" x14ac:dyDescent="0.2"/>
    <row r="23" s="266" customFormat="1" x14ac:dyDescent="0.2"/>
    <row r="24" s="266" customFormat="1" x14ac:dyDescent="0.2"/>
    <row r="25" s="266" customFormat="1" x14ac:dyDescent="0.2"/>
    <row r="26" s="266" customFormat="1" x14ac:dyDescent="0.2"/>
    <row r="27" s="266" customFormat="1" x14ac:dyDescent="0.2"/>
    <row r="28" s="266" customFormat="1" x14ac:dyDescent="0.2"/>
    <row r="29" s="266" customFormat="1" x14ac:dyDescent="0.2"/>
    <row r="30" s="266" customFormat="1" x14ac:dyDescent="0.2"/>
    <row r="31" s="266" customFormat="1" x14ac:dyDescent="0.2"/>
    <row r="32" s="266" customFormat="1" x14ac:dyDescent="0.2"/>
    <row r="33" s="266" customFormat="1" x14ac:dyDescent="0.2"/>
    <row r="34" s="266" customFormat="1" x14ac:dyDescent="0.2"/>
    <row r="35" s="266" customFormat="1" x14ac:dyDescent="0.2"/>
    <row r="36" s="266" customFormat="1" x14ac:dyDescent="0.2"/>
    <row r="37" s="266" customFormat="1" x14ac:dyDescent="0.2"/>
    <row r="38" s="266" customFormat="1" ht="12.75" hidden="1" customHeight="1" x14ac:dyDescent="0.2"/>
    <row r="39" s="266" customFormat="1" ht="12.75" hidden="1" customHeight="1" x14ac:dyDescent="0.2"/>
    <row r="40" s="266" customFormat="1" ht="12.75" hidden="1" customHeight="1" x14ac:dyDescent="0.2"/>
    <row r="41" s="266" customFormat="1" ht="12.75" hidden="1" customHeight="1" x14ac:dyDescent="0.2"/>
    <row r="42" s="266" customFormat="1" ht="12.75" hidden="1" customHeight="1" x14ac:dyDescent="0.2"/>
    <row r="43" s="266" customFormat="1" ht="12.75" hidden="1" customHeight="1" x14ac:dyDescent="0.2"/>
    <row r="44" s="266" customFormat="1" ht="12.75" hidden="1" customHeight="1" x14ac:dyDescent="0.2"/>
    <row r="45" s="266" customFormat="1" ht="12.75" hidden="1" customHeight="1" x14ac:dyDescent="0.2"/>
    <row r="46" s="266" customFormat="1" ht="12.75" hidden="1" customHeight="1" x14ac:dyDescent="0.2"/>
    <row r="47" s="266" customFormat="1" ht="12.75" hidden="1" customHeight="1" x14ac:dyDescent="0.2"/>
    <row r="48" s="266" customFormat="1" ht="12.75" hidden="1" customHeight="1" x14ac:dyDescent="0.2"/>
    <row r="49" s="266" customFormat="1" ht="12.75" hidden="1" customHeight="1" x14ac:dyDescent="0.2"/>
    <row r="50" s="266" customFormat="1" ht="12.75" hidden="1" customHeight="1" x14ac:dyDescent="0.2"/>
    <row r="51" s="266" customFormat="1" ht="12.75" hidden="1" customHeight="1" x14ac:dyDescent="0.2"/>
    <row r="52" s="266" customFormat="1" ht="12.75" hidden="1" customHeight="1" x14ac:dyDescent="0.2"/>
    <row r="53" s="266" customFormat="1" ht="12.75" hidden="1" customHeight="1" x14ac:dyDescent="0.2"/>
    <row r="54" s="266" customFormat="1" ht="12.75" hidden="1" customHeight="1" x14ac:dyDescent="0.2"/>
    <row r="55" s="266" customFormat="1" ht="12.75" hidden="1" customHeight="1" x14ac:dyDescent="0.2"/>
  </sheetData>
  <sheetProtection algorithmName="SHA-512" hashValue="firKF+gYNGINdAFeVW/lt3y57pZH2hW1EiR1D7X6XAPcLHiDIVcsgS+MaXKGQTrFMOHngwTl6Q4jFjDRE+0FYg==" saltValue="voQZoDXxQ/8e8lnAiw8Y9g==" spinCount="100000" sheet="1" objects="1" scenarios="1" selectLockedCells="1" selectUnlockedCells="1"/>
  <printOptions horizontalCentered="1" verticalCentered="1"/>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3EF89-489A-4431-9C17-BA59A851289E}">
  <sheetPr codeName="Hoja41">
    <pageSetUpPr fitToPage="1"/>
  </sheetPr>
  <dimension ref="A1:XFC77"/>
  <sheetViews>
    <sheetView showGridLines="0" zoomScale="80" zoomScaleNormal="80" workbookViewId="0">
      <selection activeCell="A38" sqref="A38"/>
    </sheetView>
  </sheetViews>
  <sheetFormatPr baseColWidth="10" defaultColWidth="0" defaultRowHeight="12.75" customHeight="1" zeroHeight="1" x14ac:dyDescent="0.2"/>
  <cols>
    <col min="1" max="1" width="179.42578125" style="266" customWidth="1"/>
    <col min="2" max="2" width="5.7109375" style="266" customWidth="1"/>
    <col min="3" max="3" width="8.42578125" style="266" customWidth="1"/>
    <col min="4" max="4" width="11.42578125" style="266" hidden="1" customWidth="1"/>
    <col min="5" max="16383" width="11.42578125" style="266" hidden="1"/>
    <col min="16384" max="16384" width="4.28515625" style="266" hidden="1" customWidth="1"/>
  </cols>
  <sheetData>
    <row r="1" spans="1:1" x14ac:dyDescent="0.2"/>
    <row r="2" spans="1:1" x14ac:dyDescent="0.2"/>
    <row r="3" spans="1:1" x14ac:dyDescent="0.2"/>
    <row r="4" spans="1:1" x14ac:dyDescent="0.2"/>
    <row r="5" spans="1:1" x14ac:dyDescent="0.2"/>
    <row r="6" spans="1:1" x14ac:dyDescent="0.2"/>
    <row r="7" spans="1:1" x14ac:dyDescent="0.2"/>
    <row r="8" spans="1:1" x14ac:dyDescent="0.2"/>
    <row r="9" spans="1:1" x14ac:dyDescent="0.2"/>
    <row r="10" spans="1:1" x14ac:dyDescent="0.2"/>
    <row r="11" spans="1:1" x14ac:dyDescent="0.2"/>
    <row r="12" spans="1:1" x14ac:dyDescent="0.2"/>
    <row r="13" spans="1:1" x14ac:dyDescent="0.2"/>
    <row r="14" spans="1:1" x14ac:dyDescent="0.2"/>
    <row r="15" spans="1:1" ht="6.6" customHeight="1" x14ac:dyDescent="0.2"/>
    <row r="16" spans="1:1" x14ac:dyDescent="0.2">
      <c r="A16" s="268"/>
    </row>
    <row r="17" spans="1:3" x14ac:dyDescent="0.2">
      <c r="A17" s="302"/>
      <c r="B17" s="302"/>
      <c r="C17" s="302"/>
    </row>
    <row r="18" spans="1:3" x14ac:dyDescent="0.2">
      <c r="A18" s="302"/>
      <c r="B18" s="302"/>
      <c r="C18" s="302"/>
    </row>
    <row r="19" spans="1:3" x14ac:dyDescent="0.2">
      <c r="A19" s="302"/>
      <c r="B19" s="302"/>
      <c r="C19" s="302"/>
    </row>
    <row r="20" spans="1:3" x14ac:dyDescent="0.2">
      <c r="A20" s="302"/>
      <c r="B20" s="302"/>
      <c r="C20" s="302"/>
    </row>
    <row r="21" spans="1:3" x14ac:dyDescent="0.2">
      <c r="A21" s="302"/>
      <c r="B21" s="302"/>
      <c r="C21" s="302"/>
    </row>
    <row r="22" spans="1:3" x14ac:dyDescent="0.2">
      <c r="A22" s="302"/>
      <c r="B22" s="302"/>
      <c r="C22" s="302"/>
    </row>
    <row r="23" spans="1:3" x14ac:dyDescent="0.2">
      <c r="A23" s="302"/>
      <c r="B23" s="302"/>
      <c r="C23" s="302"/>
    </row>
    <row r="24" spans="1:3" x14ac:dyDescent="0.2">
      <c r="A24" s="302"/>
      <c r="B24" s="302"/>
      <c r="C24" s="302"/>
    </row>
    <row r="25" spans="1:3" ht="6.95" customHeight="1" x14ac:dyDescent="0.2">
      <c r="A25" s="302"/>
      <c r="B25" s="302"/>
      <c r="C25" s="302"/>
    </row>
    <row r="26" spans="1:3" x14ac:dyDescent="0.2">
      <c r="A26" s="302"/>
      <c r="B26" s="302"/>
      <c r="C26" s="302"/>
    </row>
    <row r="27" spans="1:3" x14ac:dyDescent="0.2">
      <c r="A27" s="302"/>
      <c r="B27" s="302"/>
      <c r="C27" s="302"/>
    </row>
    <row r="28" spans="1:3" x14ac:dyDescent="0.2">
      <c r="A28" s="302"/>
      <c r="B28" s="302"/>
      <c r="C28" s="302"/>
    </row>
    <row r="29" spans="1:3" x14ac:dyDescent="0.2">
      <c r="A29" s="302"/>
      <c r="B29" s="302"/>
      <c r="C29" s="302"/>
    </row>
    <row r="30" spans="1:3" x14ac:dyDescent="0.2">
      <c r="A30" s="302"/>
      <c r="B30" s="302"/>
      <c r="C30" s="302"/>
    </row>
    <row r="31" spans="1:3" x14ac:dyDescent="0.2">
      <c r="A31" s="302"/>
      <c r="B31" s="302"/>
      <c r="C31" s="302"/>
    </row>
    <row r="32" spans="1:3" x14ac:dyDescent="0.2">
      <c r="A32" s="302"/>
      <c r="B32" s="302"/>
      <c r="C32" s="302"/>
    </row>
    <row r="33" spans="1:3" x14ac:dyDescent="0.2">
      <c r="A33" s="302"/>
      <c r="B33" s="302"/>
      <c r="C33" s="302"/>
    </row>
    <row r="34" spans="1:3" x14ac:dyDescent="0.2">
      <c r="A34" s="302"/>
      <c r="B34" s="302"/>
      <c r="C34" s="302"/>
    </row>
    <row r="35" spans="1:3" x14ac:dyDescent="0.2">
      <c r="A35" s="302"/>
      <c r="B35" s="302"/>
      <c r="C35" s="302"/>
    </row>
    <row r="36" spans="1:3" s="302" customFormat="1" ht="17.100000000000001" customHeight="1" x14ac:dyDescent="0.2">
      <c r="A36" s="303"/>
      <c r="B36" s="303"/>
      <c r="C36" s="303"/>
    </row>
    <row r="37" spans="1:3" x14ac:dyDescent="0.2">
      <c r="A37" s="302"/>
      <c r="B37" s="302"/>
      <c r="C37" s="302"/>
    </row>
    <row r="38" spans="1:3" x14ac:dyDescent="0.2"/>
    <row r="39" spans="1:3" x14ac:dyDescent="0.2"/>
    <row r="40" spans="1:3" x14ac:dyDescent="0.2"/>
    <row r="41" spans="1:3" x14ac:dyDescent="0.2"/>
    <row r="42" spans="1:3" x14ac:dyDescent="0.2"/>
    <row r="43" spans="1:3" x14ac:dyDescent="0.2"/>
    <row r="44" spans="1:3" x14ac:dyDescent="0.2"/>
    <row r="45" spans="1:3" x14ac:dyDescent="0.2"/>
    <row r="46" spans="1:3" x14ac:dyDescent="0.2"/>
    <row r="47" spans="1:3" x14ac:dyDescent="0.2"/>
    <row r="48" spans="1:3" x14ac:dyDescent="0.2"/>
    <row r="49" s="266" customFormat="1" x14ac:dyDescent="0.2"/>
    <row r="50" s="266" customFormat="1" x14ac:dyDescent="0.2"/>
    <row r="51" s="266" customFormat="1" hidden="1" x14ac:dyDescent="0.2"/>
    <row r="52" s="266" customFormat="1" hidden="1" x14ac:dyDescent="0.2"/>
    <row r="53" s="266" customFormat="1" hidden="1" x14ac:dyDescent="0.2"/>
    <row r="54" s="266" customFormat="1" hidden="1" x14ac:dyDescent="0.2"/>
    <row r="55" s="266" customFormat="1" hidden="1" x14ac:dyDescent="0.2"/>
    <row r="56" s="266" customFormat="1" hidden="1" x14ac:dyDescent="0.2"/>
    <row r="57" s="266" customFormat="1" hidden="1" x14ac:dyDescent="0.2"/>
    <row r="58" s="266" customFormat="1" ht="12.75" hidden="1" customHeight="1" x14ac:dyDescent="0.2"/>
    <row r="59" s="266" customFormat="1" ht="12.75" hidden="1" customHeight="1" x14ac:dyDescent="0.2"/>
    <row r="60" s="266" customFormat="1" ht="12.75" hidden="1" customHeight="1" x14ac:dyDescent="0.2"/>
    <row r="61" s="266" customFormat="1" ht="12.75" hidden="1" customHeight="1" x14ac:dyDescent="0.2"/>
    <row r="62" s="266" customFormat="1" ht="12.75" hidden="1" customHeight="1" x14ac:dyDescent="0.2"/>
    <row r="63" s="266" customFormat="1" ht="12.75" hidden="1" customHeight="1" x14ac:dyDescent="0.2"/>
    <row r="64" s="266" customFormat="1" ht="12.75" hidden="1" customHeight="1" x14ac:dyDescent="0.2"/>
    <row r="65" s="266" customFormat="1" ht="12.75" hidden="1" customHeight="1" x14ac:dyDescent="0.2"/>
    <row r="66" s="266" customFormat="1" ht="12.75" hidden="1" customHeight="1" x14ac:dyDescent="0.2"/>
    <row r="67" s="266" customFormat="1" ht="12.75" hidden="1" customHeight="1" x14ac:dyDescent="0.2"/>
    <row r="68" s="266" customFormat="1" ht="12.75" hidden="1" customHeight="1" x14ac:dyDescent="0.2"/>
    <row r="69" s="266" customFormat="1" ht="12.75" hidden="1" customHeight="1" x14ac:dyDescent="0.2"/>
    <row r="70" s="266" customFormat="1" ht="12.75" hidden="1" customHeight="1" x14ac:dyDescent="0.2"/>
    <row r="71" s="266" customFormat="1" ht="12.75" hidden="1" customHeight="1" x14ac:dyDescent="0.2"/>
    <row r="72" s="266" customFormat="1" ht="12.75" hidden="1" customHeight="1" x14ac:dyDescent="0.2"/>
    <row r="73" s="266" customFormat="1" ht="12.75" hidden="1" customHeight="1" x14ac:dyDescent="0.2"/>
    <row r="74" s="266" customFormat="1" ht="12.75" hidden="1" customHeight="1" x14ac:dyDescent="0.2"/>
    <row r="75" s="266" customFormat="1" ht="12.75" hidden="1" customHeight="1" x14ac:dyDescent="0.2"/>
    <row r="76" s="266" customFormat="1" ht="12.75" hidden="1" customHeight="1" x14ac:dyDescent="0.2"/>
    <row r="77" s="266" customFormat="1" ht="12.75" hidden="1" customHeight="1" x14ac:dyDescent="0.2"/>
  </sheetData>
  <sheetProtection algorithmName="SHA-512" hashValue="MenHudsVALRTe4CAoIz7G5lOYMHFN+TWqo1Qmh0DOCyc33cTHXCw2+59ABo2xZi3mHO/NcOzNg7R6F6MsNCmaA==" saltValue="l8YCOZek03hls5R61hRxQQ==" spinCount="100000" sheet="1" objects="1" scenarios="1" selectLockedCells="1" selectUnlockedCells="1"/>
  <printOptions horizontalCentered="1" verticalCentered="1"/>
  <pageMargins left="0.7" right="0.7" top="0.75" bottom="0.75" header="0.3" footer="0.3"/>
  <pageSetup scale="6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7873F-3187-4AA6-A8E1-4D707C333148}">
  <sheetPr codeName="Hoja31">
    <pageSetUpPr fitToPage="1"/>
  </sheetPr>
  <dimension ref="A1:XFC58"/>
  <sheetViews>
    <sheetView zoomScaleNormal="100" workbookViewId="0">
      <selection activeCell="A10" sqref="A10"/>
    </sheetView>
  </sheetViews>
  <sheetFormatPr baseColWidth="10" defaultColWidth="0" defaultRowHeight="12.75" customHeight="1" zeroHeight="1" x14ac:dyDescent="0.2"/>
  <cols>
    <col min="1" max="1" width="143.42578125" style="266" customWidth="1"/>
    <col min="2" max="2" width="1.140625" style="266" hidden="1" customWidth="1"/>
    <col min="3" max="3" width="11.85546875" style="266" hidden="1"/>
    <col min="4" max="16383" width="11.42578125" style="266" hidden="1"/>
    <col min="16384" max="16384" width="4.28515625" style="266" hidden="1"/>
  </cols>
  <sheetData>
    <row r="1" spans="1:1" x14ac:dyDescent="0.2"/>
    <row r="2" spans="1:1" x14ac:dyDescent="0.2"/>
    <row r="3" spans="1:1" x14ac:dyDescent="0.2"/>
    <row r="4" spans="1:1" x14ac:dyDescent="0.2"/>
    <row r="5" spans="1:1" x14ac:dyDescent="0.2"/>
    <row r="6" spans="1:1" x14ac:dyDescent="0.2"/>
    <row r="7" spans="1:1" x14ac:dyDescent="0.2"/>
    <row r="8" spans="1:1" x14ac:dyDescent="0.2"/>
    <row r="9" spans="1:1" x14ac:dyDescent="0.2"/>
    <row r="10" spans="1:1" x14ac:dyDescent="0.2"/>
    <row r="11" spans="1:1" x14ac:dyDescent="0.2"/>
    <row r="12" spans="1:1" x14ac:dyDescent="0.2"/>
    <row r="13" spans="1:1" x14ac:dyDescent="0.2">
      <c r="A13" s="267"/>
    </row>
    <row r="14" spans="1:1" x14ac:dyDescent="0.2"/>
    <row r="15" spans="1:1" x14ac:dyDescent="0.2"/>
    <row r="16" spans="1:1" x14ac:dyDescent="0.2"/>
    <row r="17" s="266" customFormat="1" x14ac:dyDescent="0.2"/>
    <row r="18" s="266" customFormat="1" x14ac:dyDescent="0.2"/>
    <row r="19" s="266" customFormat="1" x14ac:dyDescent="0.2"/>
    <row r="20" s="266" customFormat="1" x14ac:dyDescent="0.2"/>
    <row r="21" s="266" customFormat="1" x14ac:dyDescent="0.2"/>
    <row r="22" s="266" customFormat="1" x14ac:dyDescent="0.2"/>
    <row r="23" s="266" customFormat="1" x14ac:dyDescent="0.2"/>
    <row r="24" s="266" customFormat="1" x14ac:dyDescent="0.2"/>
    <row r="25" s="266" customFormat="1" x14ac:dyDescent="0.2"/>
    <row r="26" s="266" customFormat="1" x14ac:dyDescent="0.2"/>
    <row r="27" s="266" customFormat="1" x14ac:dyDescent="0.2"/>
    <row r="28" s="266" customFormat="1" x14ac:dyDescent="0.2"/>
    <row r="29" s="266" customFormat="1" x14ac:dyDescent="0.2"/>
    <row r="30" s="266" customFormat="1" x14ac:dyDescent="0.2"/>
    <row r="31" s="266" customFormat="1" x14ac:dyDescent="0.2"/>
    <row r="32" s="266" customFormat="1" x14ac:dyDescent="0.2"/>
    <row r="33" s="266" customFormat="1" x14ac:dyDescent="0.2"/>
    <row r="34" s="266" customFormat="1" x14ac:dyDescent="0.2"/>
    <row r="35" s="266" customFormat="1" x14ac:dyDescent="0.2"/>
    <row r="36" s="266" customFormat="1" x14ac:dyDescent="0.2"/>
    <row r="37" s="266" customFormat="1" x14ac:dyDescent="0.2"/>
    <row r="38" s="266" customFormat="1" x14ac:dyDescent="0.2"/>
    <row r="39" s="266" customFormat="1" x14ac:dyDescent="0.2"/>
    <row r="40" s="266" customFormat="1" x14ac:dyDescent="0.2"/>
    <row r="41" s="266" customFormat="1" x14ac:dyDescent="0.2"/>
    <row r="42" s="266" customFormat="1" x14ac:dyDescent="0.2"/>
    <row r="43" s="266" customFormat="1" hidden="1" x14ac:dyDescent="0.2"/>
    <row r="44" s="266" customFormat="1" hidden="1" x14ac:dyDescent="0.2"/>
    <row r="45" s="266" customFormat="1" hidden="1" x14ac:dyDescent="0.2"/>
    <row r="46" s="266" customFormat="1" hidden="1" x14ac:dyDescent="0.2"/>
    <row r="47" s="266" customFormat="1" hidden="1" x14ac:dyDescent="0.2"/>
    <row r="48" s="266" customFormat="1" hidden="1" x14ac:dyDescent="0.2"/>
    <row r="49" s="266" customFormat="1" hidden="1" x14ac:dyDescent="0.2"/>
    <row r="50" s="266" customFormat="1" hidden="1" x14ac:dyDescent="0.2"/>
    <row r="51" s="266" customFormat="1" hidden="1" x14ac:dyDescent="0.2"/>
    <row r="52" s="266" customFormat="1" hidden="1" x14ac:dyDescent="0.2"/>
    <row r="53" s="266" customFormat="1" ht="12.75" hidden="1" customHeight="1" x14ac:dyDescent="0.2"/>
    <row r="54" s="266" customFormat="1" ht="12.75" hidden="1" customHeight="1" x14ac:dyDescent="0.2"/>
    <row r="55" s="266" customFormat="1" ht="12.75" hidden="1" customHeight="1" x14ac:dyDescent="0.2"/>
    <row r="56" s="266" customFormat="1" ht="12.75" hidden="1" customHeight="1" x14ac:dyDescent="0.2"/>
    <row r="57" s="266" customFormat="1" ht="12.75" hidden="1" customHeight="1" x14ac:dyDescent="0.2"/>
    <row r="58" s="266" customFormat="1" ht="12.75" hidden="1" customHeight="1" x14ac:dyDescent="0.2"/>
  </sheetData>
  <sheetProtection algorithmName="SHA-512" hashValue="Uz1aMhamsS4q7phzUfe/Y6C1MG/X0oRs0VPWFm5PBK6ttOglkhr63VvbApZ+ScuvMIVXZnyp49ABLfALnU1E/w==" saltValue="dI93zbnQmpqWYMxoTa2YDQ==" spinCount="100000" sheet="1" objects="1" scenarios="1" selectLockedCells="1" selectUnlockedCells="1"/>
  <printOptions horizontalCentered="1" verticalCentered="1"/>
  <pageMargins left="0.7" right="0.7" top="0.75" bottom="0.75" header="0.3" footer="0.3"/>
  <pageSetup scale="8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40684-D3D2-4D5D-91F4-236C53C4B378}">
  <sheetPr codeName="Hoja5">
    <tabColor theme="3" tint="-0.249977111117893"/>
  </sheetPr>
  <dimension ref="A2:Q225"/>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A21" sqref="A21"/>
    </sheetView>
  </sheetViews>
  <sheetFormatPr baseColWidth="10" defaultColWidth="15" defaultRowHeight="12.75" x14ac:dyDescent="0.2"/>
  <cols>
    <col min="1" max="1" width="53.42578125" style="214" customWidth="1"/>
    <col min="2" max="2" width="18.140625" style="214" bestFit="1" customWidth="1"/>
    <col min="3" max="3" width="18.5703125" style="214" bestFit="1" customWidth="1"/>
    <col min="4" max="4" width="18.85546875" style="214" bestFit="1" customWidth="1"/>
    <col min="5" max="5" width="18.5703125" style="214" bestFit="1" customWidth="1"/>
    <col min="6" max="6" width="19" style="214" customWidth="1"/>
    <col min="7" max="7" width="18.28515625" style="214" customWidth="1"/>
    <col min="8" max="8" width="22.28515625" style="214" customWidth="1"/>
    <col min="9" max="9" width="27.7109375" style="214" customWidth="1"/>
    <col min="10" max="10" width="27.42578125" style="214" customWidth="1"/>
    <col min="11" max="11" width="27.7109375" style="214" customWidth="1"/>
    <col min="14" max="14" width="22.28515625" style="214" customWidth="1"/>
    <col min="15" max="15" width="27.7109375" style="214" customWidth="1"/>
    <col min="18" max="16384" width="15" style="214"/>
  </cols>
  <sheetData>
    <row r="2" spans="1:11" x14ac:dyDescent="0.2">
      <c r="A2" s="239"/>
    </row>
    <row r="3" spans="1:11" x14ac:dyDescent="0.2">
      <c r="A3" s="239"/>
      <c r="B3" s="336" t="s">
        <v>258</v>
      </c>
      <c r="C3" s="337"/>
      <c r="D3" s="336" t="s">
        <v>258</v>
      </c>
      <c r="E3" s="337"/>
      <c r="F3" s="336" t="s">
        <v>258</v>
      </c>
      <c r="G3" s="337"/>
      <c r="H3" s="336" t="s">
        <v>258</v>
      </c>
      <c r="I3" s="337"/>
      <c r="J3" s="336" t="s">
        <v>259</v>
      </c>
      <c r="K3" s="337"/>
    </row>
    <row r="4" spans="1:11" s="215" customFormat="1" ht="54" customHeight="1" x14ac:dyDescent="0.2">
      <c r="A4" s="239"/>
      <c r="B4" s="334" t="s">
        <v>93</v>
      </c>
      <c r="C4" s="334"/>
      <c r="D4" s="334" t="s">
        <v>280</v>
      </c>
      <c r="E4" s="334"/>
      <c r="F4" s="334" t="s">
        <v>281</v>
      </c>
      <c r="G4" s="335"/>
      <c r="H4" s="334" t="s">
        <v>283</v>
      </c>
      <c r="I4" s="335"/>
      <c r="J4" s="334" t="s">
        <v>282</v>
      </c>
      <c r="K4" s="335"/>
    </row>
    <row r="5" spans="1:11" s="250" customFormat="1" ht="12" x14ac:dyDescent="0.2">
      <c r="A5" s="239"/>
      <c r="B5" s="256">
        <v>2022</v>
      </c>
      <c r="C5" s="256">
        <v>2023</v>
      </c>
      <c r="D5" s="256">
        <v>2022</v>
      </c>
      <c r="E5" s="256">
        <v>2023</v>
      </c>
      <c r="F5" s="256">
        <v>2022</v>
      </c>
      <c r="G5" s="256">
        <v>2023</v>
      </c>
      <c r="H5" s="256">
        <v>2022</v>
      </c>
      <c r="I5" s="256">
        <v>2023</v>
      </c>
      <c r="J5" s="256">
        <v>2022</v>
      </c>
      <c r="K5" s="256">
        <v>2023</v>
      </c>
    </row>
    <row r="6" spans="1:11" s="215" customFormat="1" ht="12" x14ac:dyDescent="0.2">
      <c r="A6" s="239"/>
      <c r="B6" s="334" t="s">
        <v>102</v>
      </c>
      <c r="C6" s="334"/>
      <c r="D6" s="334" t="s">
        <v>102</v>
      </c>
      <c r="E6" s="334"/>
      <c r="F6" s="334" t="s">
        <v>102</v>
      </c>
      <c r="G6" s="335"/>
      <c r="H6" s="334" t="s">
        <v>102</v>
      </c>
      <c r="I6" s="335"/>
      <c r="J6" s="334" t="s">
        <v>102</v>
      </c>
      <c r="K6" s="335"/>
    </row>
    <row r="7" spans="1:11" s="216" customFormat="1" ht="15" x14ac:dyDescent="0.2">
      <c r="A7" s="251" t="s">
        <v>39</v>
      </c>
      <c r="B7" s="253"/>
      <c r="C7" s="254"/>
      <c r="D7" s="253"/>
      <c r="E7" s="254"/>
      <c r="F7" s="253"/>
      <c r="G7" s="254"/>
      <c r="H7" s="253"/>
      <c r="I7" s="254"/>
      <c r="J7" s="253"/>
      <c r="K7" s="254"/>
    </row>
    <row r="8" spans="1:11" s="216" customFormat="1" ht="12" x14ac:dyDescent="0.2">
      <c r="B8" s="209"/>
      <c r="C8" s="211"/>
      <c r="D8" s="209"/>
      <c r="E8" s="211"/>
      <c r="F8" s="209"/>
      <c r="G8" s="211"/>
      <c r="H8" s="209"/>
      <c r="I8" s="211"/>
      <c r="J8" s="209"/>
      <c r="K8" s="211"/>
    </row>
    <row r="9" spans="1:11" s="216" customFormat="1" ht="12" x14ac:dyDescent="0.2">
      <c r="A9" s="218" t="s">
        <v>40</v>
      </c>
      <c r="B9" s="209"/>
      <c r="C9" s="211"/>
      <c r="D9" s="209"/>
      <c r="E9" s="211"/>
      <c r="F9" s="209"/>
      <c r="G9" s="211"/>
      <c r="H9" s="209"/>
      <c r="I9" s="211"/>
      <c r="J9" s="209"/>
      <c r="K9" s="211"/>
    </row>
    <row r="10" spans="1:11" x14ac:dyDescent="0.2">
      <c r="A10" s="214" t="s">
        <v>41</v>
      </c>
      <c r="B10" s="209">
        <v>2244319837</v>
      </c>
      <c r="C10" s="213">
        <v>2406643582</v>
      </c>
      <c r="D10" s="209">
        <v>2892027110</v>
      </c>
      <c r="E10" s="212">
        <v>4308924687</v>
      </c>
      <c r="F10" s="209">
        <v>10697212078</v>
      </c>
      <c r="G10" s="213">
        <v>10639823716</v>
      </c>
      <c r="H10" s="209">
        <v>2508902000</v>
      </c>
      <c r="I10" s="213">
        <v>2665261000</v>
      </c>
      <c r="J10" s="209">
        <v>674163628</v>
      </c>
      <c r="K10" s="213">
        <v>638937195</v>
      </c>
    </row>
    <row r="11" spans="1:11" x14ac:dyDescent="0.2">
      <c r="A11" s="214" t="s">
        <v>42</v>
      </c>
      <c r="B11" s="213">
        <v>231483714</v>
      </c>
      <c r="C11" s="213">
        <v>189425972</v>
      </c>
      <c r="D11" s="213">
        <v>1713678339</v>
      </c>
      <c r="E11" s="213">
        <v>1886468002</v>
      </c>
      <c r="F11" s="213">
        <v>4589640971</v>
      </c>
      <c r="G11" s="213">
        <v>4698256909</v>
      </c>
      <c r="H11" s="213">
        <v>808081000</v>
      </c>
      <c r="I11" s="213">
        <v>1043577000</v>
      </c>
      <c r="J11" s="213">
        <v>160631485</v>
      </c>
      <c r="K11" s="213">
        <v>136000000</v>
      </c>
    </row>
    <row r="12" spans="1:11" s="224" customFormat="1" ht="12" x14ac:dyDescent="0.2">
      <c r="A12" s="223" t="s">
        <v>43</v>
      </c>
      <c r="B12" s="210">
        <f t="shared" ref="B12:K12" si="0">+B10+B11</f>
        <v>2475803551</v>
      </c>
      <c r="C12" s="210">
        <f t="shared" si="0"/>
        <v>2596069554</v>
      </c>
      <c r="D12" s="210">
        <f t="shared" si="0"/>
        <v>4605705449</v>
      </c>
      <c r="E12" s="210">
        <f t="shared" si="0"/>
        <v>6195392689</v>
      </c>
      <c r="F12" s="210">
        <f t="shared" si="0"/>
        <v>15286853049</v>
      </c>
      <c r="G12" s="210">
        <f t="shared" si="0"/>
        <v>15338080625</v>
      </c>
      <c r="H12" s="210">
        <f t="shared" si="0"/>
        <v>3316983000</v>
      </c>
      <c r="I12" s="210">
        <f t="shared" si="0"/>
        <v>3708838000</v>
      </c>
      <c r="J12" s="210">
        <f t="shared" si="0"/>
        <v>834795113</v>
      </c>
      <c r="K12" s="210">
        <f t="shared" si="0"/>
        <v>774937195</v>
      </c>
    </row>
    <row r="13" spans="1:11" x14ac:dyDescent="0.2">
      <c r="A13" s="218" t="s">
        <v>44</v>
      </c>
      <c r="B13" s="211"/>
      <c r="C13" s="211"/>
      <c r="D13" s="211"/>
      <c r="E13" s="211"/>
      <c r="F13" s="211"/>
      <c r="G13" s="211"/>
      <c r="H13" s="211"/>
      <c r="I13" s="211"/>
      <c r="J13" s="211"/>
      <c r="K13" s="211"/>
    </row>
    <row r="14" spans="1:11" x14ac:dyDescent="0.2">
      <c r="A14" s="214" t="s">
        <v>45</v>
      </c>
      <c r="B14" s="213">
        <v>950234873</v>
      </c>
      <c r="C14" s="213">
        <v>855660414</v>
      </c>
      <c r="D14" s="213">
        <v>732943514</v>
      </c>
      <c r="E14" s="213">
        <v>1295977161</v>
      </c>
      <c r="F14" s="213">
        <v>4636618103</v>
      </c>
      <c r="G14" s="213">
        <v>4000596016</v>
      </c>
      <c r="H14" s="213">
        <v>1352327000</v>
      </c>
      <c r="I14" s="213">
        <v>661760000</v>
      </c>
      <c r="J14" s="213">
        <v>473148606</v>
      </c>
      <c r="K14" s="213">
        <v>237036746</v>
      </c>
    </row>
    <row r="15" spans="1:11" x14ac:dyDescent="0.2">
      <c r="A15" s="226" t="s">
        <v>46</v>
      </c>
      <c r="B15" s="213"/>
      <c r="C15" s="213"/>
      <c r="D15" s="213">
        <v>44028000</v>
      </c>
      <c r="E15" s="227">
        <v>44028000</v>
      </c>
      <c r="F15" s="213">
        <v>1771996892</v>
      </c>
      <c r="G15" s="213">
        <v>255456090</v>
      </c>
      <c r="H15" s="213">
        <v>136694000</v>
      </c>
      <c r="I15" s="213">
        <v>2255984000</v>
      </c>
      <c r="J15" s="213"/>
      <c r="K15" s="213"/>
    </row>
    <row r="16" spans="1:11" s="224" customFormat="1" ht="12" x14ac:dyDescent="0.2">
      <c r="A16" s="223" t="s">
        <v>47</v>
      </c>
      <c r="B16" s="210">
        <f t="shared" ref="B16:K16" si="1">+B14+B15</f>
        <v>950234873</v>
      </c>
      <c r="C16" s="210">
        <f t="shared" si="1"/>
        <v>855660414</v>
      </c>
      <c r="D16" s="210">
        <f t="shared" si="1"/>
        <v>776971514</v>
      </c>
      <c r="E16" s="210">
        <f t="shared" si="1"/>
        <v>1340005161</v>
      </c>
      <c r="F16" s="210">
        <f t="shared" si="1"/>
        <v>6408614995</v>
      </c>
      <c r="G16" s="210">
        <f t="shared" si="1"/>
        <v>4256052106</v>
      </c>
      <c r="H16" s="210">
        <f t="shared" si="1"/>
        <v>1489021000</v>
      </c>
      <c r="I16" s="210">
        <f t="shared" si="1"/>
        <v>2917744000</v>
      </c>
      <c r="J16" s="210">
        <f t="shared" si="1"/>
        <v>473148606</v>
      </c>
      <c r="K16" s="210">
        <f t="shared" si="1"/>
        <v>237036746</v>
      </c>
    </row>
    <row r="17" spans="1:11" x14ac:dyDescent="0.2">
      <c r="A17" s="218" t="s">
        <v>48</v>
      </c>
      <c r="B17" s="209"/>
      <c r="C17" s="209"/>
      <c r="D17" s="209"/>
      <c r="E17" s="209"/>
      <c r="F17" s="209"/>
      <c r="G17" s="209"/>
      <c r="H17" s="209"/>
      <c r="I17" s="209"/>
      <c r="J17" s="209"/>
      <c r="K17" s="209"/>
    </row>
    <row r="18" spans="1:11" x14ac:dyDescent="0.2">
      <c r="A18" s="214" t="s">
        <v>94</v>
      </c>
      <c r="B18" s="229">
        <v>90000000</v>
      </c>
      <c r="C18" s="213">
        <v>90000000</v>
      </c>
      <c r="D18" s="213">
        <v>56000000</v>
      </c>
      <c r="E18" s="213">
        <v>56000000</v>
      </c>
      <c r="F18" s="213">
        <v>1000000000</v>
      </c>
      <c r="G18" s="213">
        <v>1000000000</v>
      </c>
      <c r="H18" s="213">
        <v>80000000</v>
      </c>
      <c r="I18" s="213">
        <v>80000000</v>
      </c>
      <c r="J18" s="213">
        <v>300000000</v>
      </c>
      <c r="K18" s="213">
        <v>300000000</v>
      </c>
    </row>
    <row r="19" spans="1:11" x14ac:dyDescent="0.2">
      <c r="A19" s="214" t="s">
        <v>182</v>
      </c>
      <c r="B19" s="229"/>
      <c r="C19" s="213"/>
      <c r="D19" s="213"/>
      <c r="E19" s="213"/>
      <c r="F19" s="213"/>
      <c r="G19" s="213"/>
      <c r="H19" s="213"/>
      <c r="I19" s="213"/>
      <c r="J19" s="213"/>
      <c r="K19" s="213"/>
    </row>
    <row r="20" spans="1:11" x14ac:dyDescent="0.2">
      <c r="A20" s="214" t="s">
        <v>181</v>
      </c>
      <c r="B20" s="229"/>
      <c r="C20" s="213"/>
      <c r="D20" s="213"/>
      <c r="E20" s="213"/>
      <c r="F20" s="213"/>
      <c r="G20" s="213"/>
      <c r="H20" s="213"/>
      <c r="I20" s="213"/>
      <c r="J20" s="213"/>
      <c r="K20" s="213"/>
    </row>
    <row r="21" spans="1:11" s="216" customFormat="1" ht="12" x14ac:dyDescent="0.2">
      <c r="A21" s="214" t="s">
        <v>50</v>
      </c>
      <c r="B21" s="229">
        <f>40175661+489959463</f>
        <v>530135124</v>
      </c>
      <c r="C21" s="213">
        <f>45000000+489959463</f>
        <v>534959463</v>
      </c>
      <c r="D21" s="213">
        <v>26946262</v>
      </c>
      <c r="E21" s="213">
        <v>26946262</v>
      </c>
      <c r="F21" s="213">
        <v>504490382</v>
      </c>
      <c r="G21" s="213">
        <v>504490382</v>
      </c>
      <c r="H21" s="213">
        <v>190000000</v>
      </c>
      <c r="I21" s="213">
        <v>190000000</v>
      </c>
      <c r="J21" s="213"/>
      <c r="K21" s="213"/>
    </row>
    <row r="22" spans="1:11" s="216" customFormat="1" ht="12" x14ac:dyDescent="0.2">
      <c r="A22" s="214" t="s">
        <v>95</v>
      </c>
      <c r="B22" s="229"/>
      <c r="C22" s="213"/>
      <c r="D22" s="213"/>
      <c r="E22" s="213"/>
      <c r="F22" s="213"/>
      <c r="G22" s="213"/>
      <c r="H22" s="213"/>
      <c r="I22" s="213"/>
      <c r="J22" s="213"/>
      <c r="K22" s="213"/>
    </row>
    <row r="23" spans="1:11" x14ac:dyDescent="0.2">
      <c r="A23" s="214" t="s">
        <v>51</v>
      </c>
      <c r="B23" s="209"/>
      <c r="C23" s="209"/>
      <c r="D23" s="209"/>
      <c r="E23" s="209"/>
      <c r="F23" s="209"/>
      <c r="G23" s="209"/>
      <c r="H23" s="209"/>
      <c r="I23" s="209"/>
      <c r="J23" s="209"/>
      <c r="K23" s="209"/>
    </row>
    <row r="24" spans="1:11" s="216" customFormat="1" ht="12" x14ac:dyDescent="0.2">
      <c r="A24" s="214" t="s">
        <v>52</v>
      </c>
      <c r="B24" s="209"/>
      <c r="C24" s="209"/>
      <c r="D24" s="209"/>
      <c r="E24" s="209"/>
      <c r="F24" s="209"/>
      <c r="G24" s="209"/>
      <c r="H24" s="209"/>
      <c r="I24" s="209"/>
      <c r="J24" s="209"/>
      <c r="K24" s="209"/>
    </row>
    <row r="25" spans="1:11" s="216" customFormat="1" ht="12" x14ac:dyDescent="0.2">
      <c r="A25" s="214" t="s">
        <v>53</v>
      </c>
      <c r="B25" s="211"/>
      <c r="C25" s="211"/>
      <c r="D25" s="211">
        <v>279727634</v>
      </c>
      <c r="E25" s="211">
        <v>279727634</v>
      </c>
      <c r="F25" s="211"/>
      <c r="G25" s="211"/>
      <c r="H25" s="211"/>
      <c r="I25" s="211"/>
      <c r="J25" s="211"/>
      <c r="K25" s="211"/>
    </row>
    <row r="26" spans="1:11" x14ac:dyDescent="0.2">
      <c r="A26" s="214" t="s">
        <v>54</v>
      </c>
      <c r="B26" s="211">
        <v>295000543</v>
      </c>
      <c r="C26" s="213">
        <v>236977682</v>
      </c>
      <c r="D26" s="213">
        <v>236203421</v>
      </c>
      <c r="E26" s="213">
        <v>1023346593</v>
      </c>
      <c r="F26" s="213">
        <v>3448322376</v>
      </c>
      <c r="G26" s="213">
        <v>2229003079</v>
      </c>
      <c r="H26" s="213">
        <v>631583000</v>
      </c>
      <c r="I26" s="213">
        <v>219924000</v>
      </c>
      <c r="J26" s="213">
        <v>87225551</v>
      </c>
      <c r="K26" s="213">
        <v>176253942</v>
      </c>
    </row>
    <row r="27" spans="1:11" x14ac:dyDescent="0.2">
      <c r="A27" s="214" t="s">
        <v>55</v>
      </c>
      <c r="B27" s="229">
        <v>456350809</v>
      </c>
      <c r="C27" s="213">
        <v>746527013</v>
      </c>
      <c r="D27" s="213">
        <v>2165051199</v>
      </c>
      <c r="E27" s="212">
        <v>2404561620</v>
      </c>
      <c r="F27" s="213">
        <v>76784813</v>
      </c>
      <c r="G27" s="213">
        <v>3525107189</v>
      </c>
      <c r="H27" s="213">
        <v>926379000</v>
      </c>
      <c r="I27" s="213">
        <v>301170000</v>
      </c>
      <c r="J27" s="213">
        <f>61646507-87225551</f>
        <v>-25579044</v>
      </c>
      <c r="K27" s="213">
        <v>61646507</v>
      </c>
    </row>
    <row r="28" spans="1:11" x14ac:dyDescent="0.2">
      <c r="A28" s="214" t="s">
        <v>56</v>
      </c>
      <c r="B28" s="229">
        <v>55060548</v>
      </c>
      <c r="C28" s="213">
        <v>55060548</v>
      </c>
      <c r="D28" s="213">
        <v>1064805419</v>
      </c>
      <c r="E28" s="213">
        <v>1064805419</v>
      </c>
      <c r="F28" s="213">
        <v>3848640483</v>
      </c>
      <c r="G28" s="213">
        <v>3823427869</v>
      </c>
      <c r="H28" s="213"/>
      <c r="I28" s="213"/>
      <c r="J28" s="213"/>
      <c r="K28" s="213"/>
    </row>
    <row r="29" spans="1:11" x14ac:dyDescent="0.2">
      <c r="A29" s="214" t="s">
        <v>57</v>
      </c>
      <c r="B29" s="209"/>
      <c r="C29" s="209"/>
      <c r="D29" s="209"/>
      <c r="E29" s="209"/>
      <c r="F29" s="209"/>
      <c r="G29" s="209"/>
      <c r="H29" s="209"/>
      <c r="I29" s="209"/>
      <c r="J29" s="209"/>
      <c r="K29" s="209"/>
    </row>
    <row r="30" spans="1:11" x14ac:dyDescent="0.2">
      <c r="A30" s="214" t="s">
        <v>96</v>
      </c>
      <c r="B30" s="229">
        <f>76884433+22137221</f>
        <v>99021654</v>
      </c>
      <c r="C30" s="213">
        <v>76884433</v>
      </c>
      <c r="D30" s="213"/>
      <c r="E30" s="213"/>
      <c r="F30" s="213"/>
      <c r="G30" s="213"/>
      <c r="H30" s="213"/>
      <c r="I30" s="213"/>
      <c r="J30" s="213"/>
      <c r="K30" s="213"/>
    </row>
    <row r="31" spans="1:11" x14ac:dyDescent="0.2">
      <c r="A31" s="214" t="s">
        <v>58</v>
      </c>
      <c r="B31" s="209"/>
      <c r="C31" s="209"/>
      <c r="D31" s="209"/>
      <c r="E31" s="209"/>
      <c r="F31" s="209"/>
      <c r="G31" s="209"/>
      <c r="H31" s="209"/>
      <c r="I31" s="209"/>
      <c r="J31" s="209"/>
      <c r="K31" s="209"/>
    </row>
    <row r="32" spans="1:11" s="224" customFormat="1" ht="12" x14ac:dyDescent="0.2">
      <c r="A32" s="223" t="s">
        <v>59</v>
      </c>
      <c r="B32" s="210">
        <f t="shared" ref="B32:K32" si="2">SUM(B18:B31)</f>
        <v>1525568678</v>
      </c>
      <c r="C32" s="210">
        <f t="shared" si="2"/>
        <v>1740409139</v>
      </c>
      <c r="D32" s="210">
        <f t="shared" si="2"/>
        <v>3828733935</v>
      </c>
      <c r="E32" s="210">
        <f t="shared" si="2"/>
        <v>4855387528</v>
      </c>
      <c r="F32" s="210">
        <f t="shared" si="2"/>
        <v>8878238054</v>
      </c>
      <c r="G32" s="210">
        <f t="shared" si="2"/>
        <v>11082028519</v>
      </c>
      <c r="H32" s="210">
        <f t="shared" si="2"/>
        <v>1827962000</v>
      </c>
      <c r="I32" s="210">
        <f t="shared" si="2"/>
        <v>791094000</v>
      </c>
      <c r="J32" s="210">
        <f t="shared" si="2"/>
        <v>361646507</v>
      </c>
      <c r="K32" s="210">
        <f t="shared" si="2"/>
        <v>537900449</v>
      </c>
    </row>
    <row r="33" spans="1:11" s="224" customFormat="1" ht="12" x14ac:dyDescent="0.2">
      <c r="A33" s="223" t="s">
        <v>60</v>
      </c>
      <c r="B33" s="210">
        <f t="shared" ref="B33:K33" si="3">+B16+B32</f>
        <v>2475803551</v>
      </c>
      <c r="C33" s="210">
        <f t="shared" si="3"/>
        <v>2596069553</v>
      </c>
      <c r="D33" s="210">
        <f t="shared" si="3"/>
        <v>4605705449</v>
      </c>
      <c r="E33" s="210">
        <f t="shared" si="3"/>
        <v>6195392689</v>
      </c>
      <c r="F33" s="210">
        <f t="shared" si="3"/>
        <v>15286853049</v>
      </c>
      <c r="G33" s="210">
        <f t="shared" si="3"/>
        <v>15338080625</v>
      </c>
      <c r="H33" s="210">
        <f t="shared" si="3"/>
        <v>3316983000</v>
      </c>
      <c r="I33" s="210">
        <f t="shared" si="3"/>
        <v>3708838000</v>
      </c>
      <c r="J33" s="210">
        <f t="shared" si="3"/>
        <v>834795113</v>
      </c>
      <c r="K33" s="210">
        <f t="shared" si="3"/>
        <v>774937195</v>
      </c>
    </row>
    <row r="34" spans="1:11" s="224" customFormat="1" ht="12" x14ac:dyDescent="0.2">
      <c r="A34" s="232"/>
      <c r="B34" s="233"/>
      <c r="C34" s="233"/>
      <c r="D34" s="233"/>
      <c r="E34" s="233"/>
      <c r="F34" s="233"/>
      <c r="G34" s="233"/>
      <c r="H34" s="233"/>
      <c r="I34" s="233"/>
      <c r="J34" s="233"/>
      <c r="K34" s="233"/>
    </row>
    <row r="35" spans="1:11" s="224" customFormat="1" ht="15" x14ac:dyDescent="0.2">
      <c r="A35" s="251" t="s">
        <v>97</v>
      </c>
      <c r="B35" s="233"/>
      <c r="C35" s="233"/>
      <c r="D35" s="233"/>
      <c r="E35" s="233"/>
      <c r="F35" s="233"/>
      <c r="G35" s="233"/>
      <c r="H35" s="233"/>
      <c r="I35" s="233"/>
      <c r="J35" s="233"/>
      <c r="K35" s="233"/>
    </row>
    <row r="36" spans="1:11" s="224" customFormat="1" ht="12" x14ac:dyDescent="0.2">
      <c r="A36" s="216"/>
      <c r="B36" s="233"/>
      <c r="C36" s="233"/>
      <c r="D36" s="233"/>
      <c r="E36" s="233"/>
      <c r="F36" s="233"/>
      <c r="G36" s="233"/>
      <c r="H36" s="233"/>
      <c r="I36" s="233"/>
      <c r="J36" s="233"/>
      <c r="K36" s="233"/>
    </row>
    <row r="37" spans="1:11" x14ac:dyDescent="0.2">
      <c r="A37" s="226" t="s">
        <v>61</v>
      </c>
      <c r="B37" s="213">
        <v>3427891741</v>
      </c>
      <c r="C37" s="213">
        <v>3849998200</v>
      </c>
      <c r="D37" s="213">
        <v>4896196586</v>
      </c>
      <c r="E37" s="213">
        <v>7086412898</v>
      </c>
      <c r="F37" s="213">
        <v>7449951960</v>
      </c>
      <c r="G37" s="213">
        <v>9505390723</v>
      </c>
      <c r="H37" s="213">
        <v>3062315000</v>
      </c>
      <c r="I37" s="213">
        <v>3584883000</v>
      </c>
      <c r="J37" s="213">
        <v>911988459</v>
      </c>
      <c r="K37" s="213">
        <f>892600984</f>
        <v>892600984</v>
      </c>
    </row>
    <row r="38" spans="1:11" x14ac:dyDescent="0.2">
      <c r="A38" s="226" t="s">
        <v>62</v>
      </c>
      <c r="B38" s="213"/>
      <c r="C38" s="213"/>
      <c r="D38" s="213"/>
      <c r="E38" s="213"/>
      <c r="F38" s="213">
        <v>3626679379</v>
      </c>
      <c r="G38" s="213">
        <v>3817782058</v>
      </c>
      <c r="H38" s="213"/>
      <c r="I38" s="213"/>
      <c r="J38" s="213">
        <v>555588595</v>
      </c>
      <c r="K38" s="213">
        <v>468403507</v>
      </c>
    </row>
    <row r="39" spans="1:11" x14ac:dyDescent="0.2">
      <c r="A39" s="214" t="s">
        <v>63</v>
      </c>
      <c r="B39" s="213">
        <v>2795964995</v>
      </c>
      <c r="C39" s="213">
        <v>3309869130</v>
      </c>
      <c r="D39" s="213">
        <f>4383278886+84511600</f>
        <v>4467790486</v>
      </c>
      <c r="E39" s="213">
        <f>5303745563+186497934</f>
        <v>5490243497</v>
      </c>
      <c r="F39" s="213">
        <f>1437064527+2113812460</f>
        <v>3550876987</v>
      </c>
      <c r="G39" s="213">
        <f>1679807099+2223833320</f>
        <v>3903640419</v>
      </c>
      <c r="H39" s="213">
        <f>2005764000+429239000</f>
        <v>2435003000</v>
      </c>
      <c r="I39" s="213">
        <f>2382679000+334561000</f>
        <v>2717240000</v>
      </c>
      <c r="J39" s="213">
        <v>217538641</v>
      </c>
      <c r="K39" s="213">
        <v>180177061</v>
      </c>
    </row>
    <row r="40" spans="1:11" s="224" customFormat="1" ht="12" x14ac:dyDescent="0.2">
      <c r="A40" s="223" t="s">
        <v>64</v>
      </c>
      <c r="B40" s="210">
        <f t="shared" ref="B40:K40" si="4">+B37-B38-B39</f>
        <v>631926746</v>
      </c>
      <c r="C40" s="210">
        <f t="shared" si="4"/>
        <v>540129070</v>
      </c>
      <c r="D40" s="210">
        <f t="shared" si="4"/>
        <v>428406100</v>
      </c>
      <c r="E40" s="210">
        <f t="shared" si="4"/>
        <v>1596169401</v>
      </c>
      <c r="F40" s="210">
        <f t="shared" si="4"/>
        <v>272395594</v>
      </c>
      <c r="G40" s="210">
        <f t="shared" si="4"/>
        <v>1783968246</v>
      </c>
      <c r="H40" s="210">
        <f t="shared" si="4"/>
        <v>627312000</v>
      </c>
      <c r="I40" s="210">
        <f t="shared" si="4"/>
        <v>867643000</v>
      </c>
      <c r="J40" s="210">
        <f t="shared" si="4"/>
        <v>138861223</v>
      </c>
      <c r="K40" s="210">
        <f t="shared" si="4"/>
        <v>244020416</v>
      </c>
    </row>
    <row r="41" spans="1:11" x14ac:dyDescent="0.2">
      <c r="A41" s="214" t="s">
        <v>65</v>
      </c>
      <c r="B41" s="213">
        <v>113925025</v>
      </c>
      <c r="C41" s="213">
        <v>96675623</v>
      </c>
      <c r="D41" s="213">
        <v>129257429</v>
      </c>
      <c r="E41" s="213">
        <v>27880498</v>
      </c>
      <c r="F41" s="213">
        <v>3642736954</v>
      </c>
      <c r="G41" s="213">
        <v>2037515042</v>
      </c>
      <c r="H41" s="213">
        <f>330044000+428000</f>
        <v>330472000</v>
      </c>
      <c r="I41" s="213">
        <f>22962000+580000</f>
        <v>23542000</v>
      </c>
      <c r="J41" s="213">
        <f>2474120</f>
        <v>2474120</v>
      </c>
      <c r="K41" s="213"/>
    </row>
    <row r="42" spans="1:11" x14ac:dyDescent="0.2">
      <c r="A42" s="214" t="s">
        <v>66</v>
      </c>
      <c r="B42" s="213">
        <v>170340927</v>
      </c>
      <c r="C42" s="213">
        <v>140989761</v>
      </c>
      <c r="D42" s="213">
        <v>159074543</v>
      </c>
      <c r="E42" s="213">
        <v>35239966</v>
      </c>
      <c r="F42" s="213">
        <f>669781808+310</f>
        <v>669782118</v>
      </c>
      <c r="G42" s="213">
        <v>275727059</v>
      </c>
      <c r="H42" s="213">
        <f>12599000+130854000</f>
        <v>143453000</v>
      </c>
      <c r="I42" s="213">
        <f>216932000+128473000</f>
        <v>345405000</v>
      </c>
      <c r="J42" s="213">
        <f>42961838+11147954</f>
        <v>54109792</v>
      </c>
      <c r="K42" s="213">
        <f>8622526+50263309+8880639</f>
        <v>67766474</v>
      </c>
    </row>
    <row r="43" spans="1:11" s="224" customFormat="1" ht="12" x14ac:dyDescent="0.2">
      <c r="A43" s="223" t="s">
        <v>67</v>
      </c>
      <c r="B43" s="210">
        <f t="shared" ref="B43:K43" si="5">+B40+B41-B42</f>
        <v>575510844</v>
      </c>
      <c r="C43" s="210">
        <f t="shared" si="5"/>
        <v>495814932</v>
      </c>
      <c r="D43" s="210">
        <f t="shared" si="5"/>
        <v>398588986</v>
      </c>
      <c r="E43" s="210">
        <f t="shared" si="5"/>
        <v>1588809933</v>
      </c>
      <c r="F43" s="210">
        <f t="shared" si="5"/>
        <v>3245350430</v>
      </c>
      <c r="G43" s="210">
        <f t="shared" si="5"/>
        <v>3545756229</v>
      </c>
      <c r="H43" s="210">
        <f t="shared" si="5"/>
        <v>814331000</v>
      </c>
      <c r="I43" s="210">
        <f t="shared" si="5"/>
        <v>545780000</v>
      </c>
      <c r="J43" s="210">
        <f t="shared" si="5"/>
        <v>87225551</v>
      </c>
      <c r="K43" s="210">
        <f t="shared" si="5"/>
        <v>176253942</v>
      </c>
    </row>
    <row r="44" spans="1:11" x14ac:dyDescent="0.2">
      <c r="A44" s="214" t="s">
        <v>68</v>
      </c>
      <c r="B44" s="235">
        <v>-280510301</v>
      </c>
      <c r="C44" s="235">
        <v>-258837250</v>
      </c>
      <c r="D44" s="235">
        <v>-160563000</v>
      </c>
      <c r="E44" s="235">
        <v>-567191000</v>
      </c>
      <c r="F44" s="235">
        <v>-1213377000</v>
      </c>
      <c r="G44" s="235">
        <f>-1311430387-10645516</f>
        <v>-1322075903</v>
      </c>
      <c r="H44" s="235">
        <v>-182748000</v>
      </c>
      <c r="I44" s="235">
        <v>-325856000</v>
      </c>
      <c r="J44" s="235"/>
      <c r="K44" s="235"/>
    </row>
    <row r="45" spans="1:11" s="224" customFormat="1" ht="12" x14ac:dyDescent="0.2">
      <c r="A45" s="223" t="s">
        <v>69</v>
      </c>
      <c r="B45" s="210">
        <f t="shared" ref="B45:K45" si="6">+B43+B44</f>
        <v>295000543</v>
      </c>
      <c r="C45" s="210">
        <f t="shared" si="6"/>
        <v>236977682</v>
      </c>
      <c r="D45" s="210">
        <f t="shared" si="6"/>
        <v>238025986</v>
      </c>
      <c r="E45" s="210">
        <f t="shared" si="6"/>
        <v>1021618933</v>
      </c>
      <c r="F45" s="210">
        <f t="shared" si="6"/>
        <v>2031973430</v>
      </c>
      <c r="G45" s="210">
        <f t="shared" si="6"/>
        <v>2223680326</v>
      </c>
      <c r="H45" s="210">
        <f t="shared" si="6"/>
        <v>631583000</v>
      </c>
      <c r="I45" s="210">
        <f t="shared" si="6"/>
        <v>219924000</v>
      </c>
      <c r="J45" s="210">
        <f t="shared" si="6"/>
        <v>87225551</v>
      </c>
      <c r="K45" s="210">
        <f t="shared" si="6"/>
        <v>176253942</v>
      </c>
    </row>
    <row r="46" spans="1:11" x14ac:dyDescent="0.2">
      <c r="A46" s="214" t="s">
        <v>98</v>
      </c>
      <c r="B46" s="235"/>
      <c r="C46" s="235"/>
      <c r="D46" s="235"/>
      <c r="E46" s="235"/>
      <c r="F46" s="235">
        <v>1416348946</v>
      </c>
      <c r="G46" s="235">
        <v>5322753</v>
      </c>
      <c r="H46" s="235"/>
      <c r="I46" s="235"/>
      <c r="J46" s="235"/>
      <c r="K46" s="235"/>
    </row>
    <row r="47" spans="1:11" s="224" customFormat="1" ht="12" x14ac:dyDescent="0.2">
      <c r="A47" s="223" t="s">
        <v>183</v>
      </c>
      <c r="B47" s="210">
        <f t="shared" ref="B47:K47" si="7">+B45+B46</f>
        <v>295000543</v>
      </c>
      <c r="C47" s="210">
        <f t="shared" si="7"/>
        <v>236977682</v>
      </c>
      <c r="D47" s="210">
        <f t="shared" si="7"/>
        <v>238025986</v>
      </c>
      <c r="E47" s="210">
        <f t="shared" si="7"/>
        <v>1021618933</v>
      </c>
      <c r="F47" s="210">
        <f t="shared" si="7"/>
        <v>3448322376</v>
      </c>
      <c r="G47" s="210">
        <f t="shared" si="7"/>
        <v>2229003079</v>
      </c>
      <c r="H47" s="210">
        <f t="shared" si="7"/>
        <v>631583000</v>
      </c>
      <c r="I47" s="210">
        <f t="shared" si="7"/>
        <v>219924000</v>
      </c>
      <c r="J47" s="210">
        <f t="shared" si="7"/>
        <v>87225551</v>
      </c>
      <c r="K47" s="210">
        <f t="shared" si="7"/>
        <v>176253942</v>
      </c>
    </row>
    <row r="48" spans="1:11" s="216" customFormat="1" ht="12" x14ac:dyDescent="0.2">
      <c r="A48" s="238"/>
      <c r="B48" s="240"/>
      <c r="C48" s="240"/>
      <c r="D48" s="240"/>
      <c r="E48" s="240"/>
      <c r="F48" s="240"/>
      <c r="G48" s="240"/>
      <c r="H48" s="240"/>
      <c r="I48" s="240"/>
      <c r="J48" s="240"/>
      <c r="K48" s="240"/>
    </row>
    <row r="49" spans="1:11" s="216" customFormat="1" ht="12" x14ac:dyDescent="0.2">
      <c r="A49" s="238" t="s">
        <v>99</v>
      </c>
      <c r="B49" s="241">
        <f t="shared" ref="B49:K49" si="8">+B12-B33</f>
        <v>0</v>
      </c>
      <c r="C49" s="241">
        <f t="shared" si="8"/>
        <v>1</v>
      </c>
      <c r="D49" s="241">
        <f t="shared" si="8"/>
        <v>0</v>
      </c>
      <c r="E49" s="241">
        <f t="shared" si="8"/>
        <v>0</v>
      </c>
      <c r="F49" s="241">
        <f t="shared" si="8"/>
        <v>0</v>
      </c>
      <c r="G49" s="241">
        <f t="shared" si="8"/>
        <v>0</v>
      </c>
      <c r="H49" s="241">
        <f t="shared" si="8"/>
        <v>0</v>
      </c>
      <c r="I49" s="241">
        <f t="shared" si="8"/>
        <v>0</v>
      </c>
      <c r="J49" s="241">
        <f t="shared" si="8"/>
        <v>0</v>
      </c>
      <c r="K49" s="241">
        <f t="shared" si="8"/>
        <v>0</v>
      </c>
    </row>
    <row r="50" spans="1:11" s="216" customFormat="1" ht="12" x14ac:dyDescent="0.2">
      <c r="A50" s="238" t="s">
        <v>100</v>
      </c>
      <c r="B50" s="241">
        <v>295000543</v>
      </c>
      <c r="C50" s="241">
        <v>236977682</v>
      </c>
      <c r="D50" s="241">
        <v>238025986</v>
      </c>
      <c r="E50" s="241">
        <v>1021618933</v>
      </c>
      <c r="F50" s="241">
        <v>3448322376</v>
      </c>
      <c r="G50" s="241">
        <v>2229003079</v>
      </c>
      <c r="H50" s="241">
        <v>631583000</v>
      </c>
      <c r="I50" s="241">
        <v>219924000</v>
      </c>
      <c r="J50" s="241">
        <v>87225551</v>
      </c>
      <c r="K50" s="241">
        <v>176253942</v>
      </c>
    </row>
    <row r="51" spans="1:11" s="216" customFormat="1" ht="12" x14ac:dyDescent="0.2">
      <c r="A51" s="238" t="s">
        <v>101</v>
      </c>
      <c r="B51" s="241">
        <f>+B45-B50</f>
        <v>0</v>
      </c>
      <c r="C51" s="241">
        <f>+C45-C50</f>
        <v>0</v>
      </c>
      <c r="D51" s="241">
        <f>+D45-D50</f>
        <v>0</v>
      </c>
      <c r="E51" s="241">
        <f>+E45-E50</f>
        <v>0</v>
      </c>
      <c r="F51" s="241">
        <f>+F47-F50</f>
        <v>0</v>
      </c>
      <c r="G51" s="241">
        <f>+G47-G50</f>
        <v>0</v>
      </c>
      <c r="H51" s="241">
        <f>+H45-H50</f>
        <v>0</v>
      </c>
      <c r="I51" s="241">
        <f>+I45-I50</f>
        <v>0</v>
      </c>
      <c r="J51" s="241">
        <f>+J45-J50</f>
        <v>0</v>
      </c>
      <c r="K51" s="241">
        <f>+K45-K50</f>
        <v>0</v>
      </c>
    </row>
    <row r="53" spans="1:11" s="238" customFormat="1" ht="12" x14ac:dyDescent="0.2">
      <c r="B53" s="232"/>
      <c r="C53" s="232"/>
      <c r="D53" s="232"/>
      <c r="E53" s="232"/>
      <c r="F53" s="232"/>
      <c r="G53" s="232"/>
      <c r="H53" s="232"/>
      <c r="I53" s="232"/>
      <c r="J53" s="232"/>
      <c r="K53" s="232"/>
    </row>
    <row r="54" spans="1:11" s="238" customFormat="1" ht="12" x14ac:dyDescent="0.2">
      <c r="B54" s="232"/>
      <c r="C54" s="232"/>
      <c r="D54" s="232"/>
      <c r="E54" s="232"/>
      <c r="F54" s="232"/>
      <c r="G54" s="232"/>
      <c r="H54" s="232"/>
      <c r="I54" s="232"/>
      <c r="J54" s="232"/>
      <c r="K54" s="232"/>
    </row>
    <row r="55" spans="1:11" ht="15" x14ac:dyDescent="0.2">
      <c r="A55" s="251" t="s">
        <v>196</v>
      </c>
      <c r="D55" s="296">
        <v>0.13120000000000001</v>
      </c>
      <c r="E55" s="296">
        <v>9.2799999999999994E-2</v>
      </c>
      <c r="F55" s="296">
        <f>+D55-E55</f>
        <v>3.8400000000000017E-2</v>
      </c>
    </row>
    <row r="57" spans="1:11" x14ac:dyDescent="0.2">
      <c r="A57" s="207" t="s">
        <v>105</v>
      </c>
      <c r="B57" s="207"/>
      <c r="C57" s="207"/>
      <c r="D57" s="207"/>
      <c r="E57" s="207"/>
      <c r="F57" s="207"/>
      <c r="G57" s="207"/>
      <c r="H57" s="207"/>
      <c r="I57" s="207"/>
      <c r="J57" s="207"/>
      <c r="K57" s="207"/>
    </row>
    <row r="58" spans="1:11" ht="24" x14ac:dyDescent="0.2">
      <c r="A58" s="249" t="s">
        <v>195</v>
      </c>
      <c r="B58" s="206">
        <f t="shared" ref="B58:K58" si="9">IFERROR(B10/B14,0)</f>
        <v>2.3618580003430374</v>
      </c>
      <c r="C58" s="206">
        <f t="shared" si="9"/>
        <v>2.8126153116626473</v>
      </c>
      <c r="D58" s="206">
        <f t="shared" si="9"/>
        <v>3.9457707923724121</v>
      </c>
      <c r="E58" s="206">
        <f t="shared" si="9"/>
        <v>3.324846159846794</v>
      </c>
      <c r="F58" s="206">
        <f t="shared" si="9"/>
        <v>2.3071151948181057</v>
      </c>
      <c r="G58" s="206">
        <f t="shared" si="9"/>
        <v>2.6595596439748093</v>
      </c>
      <c r="H58" s="206">
        <f t="shared" si="9"/>
        <v>1.8552480280287238</v>
      </c>
      <c r="I58" s="206">
        <f t="shared" si="9"/>
        <v>4.0275341513539651</v>
      </c>
      <c r="J58" s="206">
        <f t="shared" si="9"/>
        <v>1.4248454279499663</v>
      </c>
      <c r="K58" s="206">
        <f t="shared" si="9"/>
        <v>2.6955196009989102</v>
      </c>
    </row>
    <row r="59" spans="1:11" x14ac:dyDescent="0.2">
      <c r="A59" s="207" t="s">
        <v>106</v>
      </c>
      <c r="B59" s="208"/>
      <c r="C59" s="208"/>
      <c r="D59" s="208"/>
      <c r="E59" s="208"/>
      <c r="F59" s="208"/>
      <c r="G59" s="208"/>
      <c r="H59" s="208"/>
      <c r="I59" s="208"/>
      <c r="J59" s="208"/>
      <c r="K59" s="208"/>
    </row>
    <row r="60" spans="1:11" x14ac:dyDescent="0.2">
      <c r="A60" s="96" t="s">
        <v>74</v>
      </c>
      <c r="B60" s="87">
        <f t="shared" ref="B60:K60" si="10">IFERROR(B14/B16,0)</f>
        <v>1</v>
      </c>
      <c r="C60" s="87">
        <f t="shared" si="10"/>
        <v>1</v>
      </c>
      <c r="D60" s="87">
        <f t="shared" si="10"/>
        <v>0.94333382986805359</v>
      </c>
      <c r="E60" s="87">
        <f t="shared" si="10"/>
        <v>0.96714341012900029</v>
      </c>
      <c r="F60" s="87">
        <f t="shared" si="10"/>
        <v>0.72349768344915222</v>
      </c>
      <c r="G60" s="87">
        <f t="shared" si="10"/>
        <v>0.93997815730689271</v>
      </c>
      <c r="H60" s="87">
        <f t="shared" si="10"/>
        <v>0.90819874266380396</v>
      </c>
      <c r="I60" s="87">
        <f t="shared" si="10"/>
        <v>0.22680536743456589</v>
      </c>
      <c r="J60" s="87">
        <f t="shared" si="10"/>
        <v>1</v>
      </c>
      <c r="K60" s="87">
        <f t="shared" si="10"/>
        <v>1</v>
      </c>
    </row>
    <row r="61" spans="1:11" x14ac:dyDescent="0.2">
      <c r="A61" s="96" t="s">
        <v>75</v>
      </c>
      <c r="B61" s="86">
        <f t="shared" ref="B61:K61" si="11">IFERROR(B16/B32,0)</f>
        <v>0.62287256332880736</v>
      </c>
      <c r="C61" s="86">
        <f t="shared" si="11"/>
        <v>0.49164325492547301</v>
      </c>
      <c r="D61" s="86">
        <f t="shared" si="11"/>
        <v>0.20293170724071219</v>
      </c>
      <c r="E61" s="86">
        <f t="shared" si="11"/>
        <v>0.27598315340896512</v>
      </c>
      <c r="F61" s="86">
        <f t="shared" si="11"/>
        <v>0.72183410221948974</v>
      </c>
      <c r="G61" s="86">
        <f t="shared" si="11"/>
        <v>0.3840499145714209</v>
      </c>
      <c r="H61" s="86">
        <f t="shared" si="11"/>
        <v>0.81457984356348767</v>
      </c>
      <c r="I61" s="86">
        <f t="shared" si="11"/>
        <v>3.6882393242775193</v>
      </c>
      <c r="J61" s="86">
        <f t="shared" si="11"/>
        <v>1.3083179205156819</v>
      </c>
      <c r="K61" s="86">
        <f t="shared" si="11"/>
        <v>0.44067028841613776</v>
      </c>
    </row>
    <row r="62" spans="1:11" x14ac:dyDescent="0.2">
      <c r="A62" s="97" t="s">
        <v>76</v>
      </c>
      <c r="B62" s="86">
        <f t="shared" ref="B62:K62" si="12">IFERROR(B15/B32,0)</f>
        <v>0</v>
      </c>
      <c r="C62" s="86">
        <f t="shared" si="12"/>
        <v>0</v>
      </c>
      <c r="D62" s="86">
        <f t="shared" si="12"/>
        <v>1.1499362647668543E-2</v>
      </c>
      <c r="E62" s="86">
        <f t="shared" si="12"/>
        <v>9.0678652828635759E-3</v>
      </c>
      <c r="F62" s="86">
        <f t="shared" si="12"/>
        <v>0.19958880142909041</v>
      </c>
      <c r="G62" s="86">
        <f t="shared" si="12"/>
        <v>2.3051383558707117E-2</v>
      </c>
      <c r="H62" s="86">
        <f t="shared" si="12"/>
        <v>7.477945383985006E-2</v>
      </c>
      <c r="I62" s="86">
        <f t="shared" si="12"/>
        <v>2.8517268491481418</v>
      </c>
      <c r="J62" s="86">
        <f t="shared" si="12"/>
        <v>0</v>
      </c>
      <c r="K62" s="86">
        <f t="shared" si="12"/>
        <v>0</v>
      </c>
    </row>
    <row r="63" spans="1:11" x14ac:dyDescent="0.2">
      <c r="A63" s="96" t="s">
        <v>77</v>
      </c>
      <c r="B63" s="86">
        <f t="shared" ref="B63:K63" si="13">IFERROR(B16/B12,0)</f>
        <v>0.38380867198295732</v>
      </c>
      <c r="C63" s="86">
        <f t="shared" si="13"/>
        <v>0.32959841645290527</v>
      </c>
      <c r="D63" s="86">
        <f t="shared" si="13"/>
        <v>0.16869761269008152</v>
      </c>
      <c r="E63" s="86">
        <f t="shared" si="13"/>
        <v>0.21629059339195666</v>
      </c>
      <c r="F63" s="86">
        <f t="shared" si="13"/>
        <v>0.41922395501925913</v>
      </c>
      <c r="G63" s="86">
        <f t="shared" si="13"/>
        <v>0.27748270530426944</v>
      </c>
      <c r="H63" s="86">
        <f t="shared" si="13"/>
        <v>0.44890823980707767</v>
      </c>
      <c r="I63" s="86">
        <f t="shared" si="13"/>
        <v>0.78670030882988151</v>
      </c>
      <c r="J63" s="86">
        <f t="shared" si="13"/>
        <v>0.56678411101335713</v>
      </c>
      <c r="K63" s="86">
        <f t="shared" si="13"/>
        <v>0.30587865381787488</v>
      </c>
    </row>
    <row r="64" spans="1:11" x14ac:dyDescent="0.2">
      <c r="A64" s="207" t="s">
        <v>107</v>
      </c>
      <c r="B64" s="208"/>
      <c r="C64" s="208"/>
      <c r="D64" s="208"/>
      <c r="E64" s="208"/>
      <c r="F64" s="208"/>
      <c r="G64" s="208"/>
      <c r="H64" s="208"/>
      <c r="I64" s="208"/>
      <c r="J64" s="208"/>
      <c r="K64" s="208"/>
    </row>
    <row r="65" spans="1:11" x14ac:dyDescent="0.2">
      <c r="A65" s="96" t="s">
        <v>79</v>
      </c>
      <c r="B65" s="86">
        <f t="shared" ref="B65:K65" si="14">IFERROR(B12/B16,0)</f>
        <v>2.6054648396386519</v>
      </c>
      <c r="C65" s="86">
        <f t="shared" si="14"/>
        <v>3.0339951592057641</v>
      </c>
      <c r="D65" s="86">
        <f t="shared" si="14"/>
        <v>5.9277661613215846</v>
      </c>
      <c r="E65" s="86">
        <f t="shared" si="14"/>
        <v>4.62340957282328</v>
      </c>
      <c r="F65" s="86">
        <f t="shared" si="14"/>
        <v>2.3853598727535981</v>
      </c>
      <c r="G65" s="86">
        <f t="shared" si="14"/>
        <v>3.6038282058100348</v>
      </c>
      <c r="H65" s="86">
        <f t="shared" si="14"/>
        <v>2.227626742671863</v>
      </c>
      <c r="I65" s="86">
        <f t="shared" si="14"/>
        <v>1.2711320801276602</v>
      </c>
      <c r="J65" s="86">
        <f t="shared" si="14"/>
        <v>1.7643402144991207</v>
      </c>
      <c r="K65" s="86">
        <f t="shared" si="14"/>
        <v>3.269270305457197</v>
      </c>
    </row>
    <row r="66" spans="1:11" x14ac:dyDescent="0.2">
      <c r="A66" s="96" t="s">
        <v>80</v>
      </c>
      <c r="B66" s="86">
        <f t="shared" ref="B66:K66" si="15">IFERROR(B12/B14,0)</f>
        <v>2.6054648396386519</v>
      </c>
      <c r="C66" s="86">
        <f t="shared" si="15"/>
        <v>3.0339951592057641</v>
      </c>
      <c r="D66" s="86">
        <f t="shared" si="15"/>
        <v>6.2838477468265035</v>
      </c>
      <c r="E66" s="86">
        <f t="shared" si="15"/>
        <v>4.7804798382554212</v>
      </c>
      <c r="F66" s="86">
        <f t="shared" si="15"/>
        <v>3.2969834283114778</v>
      </c>
      <c r="G66" s="86">
        <f t="shared" si="15"/>
        <v>3.8339488825307075</v>
      </c>
      <c r="H66" s="86">
        <f t="shared" si="15"/>
        <v>2.4527965499468696</v>
      </c>
      <c r="I66" s="86">
        <f t="shared" si="15"/>
        <v>5.6045061653771757</v>
      </c>
      <c r="J66" s="86">
        <f t="shared" si="15"/>
        <v>1.7643402144991207</v>
      </c>
      <c r="K66" s="86">
        <f t="shared" si="15"/>
        <v>3.269270305457197</v>
      </c>
    </row>
    <row r="67" spans="1:11" x14ac:dyDescent="0.2">
      <c r="A67" s="207" t="s">
        <v>108</v>
      </c>
      <c r="B67" s="208"/>
      <c r="C67" s="208"/>
      <c r="D67" s="208"/>
      <c r="E67" s="208"/>
      <c r="F67" s="208"/>
      <c r="G67" s="208"/>
      <c r="H67" s="208"/>
      <c r="I67" s="208"/>
      <c r="J67" s="208"/>
      <c r="K67" s="208"/>
    </row>
    <row r="68" spans="1:11" x14ac:dyDescent="0.2">
      <c r="A68" s="96" t="s">
        <v>82</v>
      </c>
      <c r="B68" s="86">
        <f t="shared" ref="B68:K68" si="16">IFERROR(B11/B15,0)</f>
        <v>0</v>
      </c>
      <c r="C68" s="86">
        <f t="shared" si="16"/>
        <v>0</v>
      </c>
      <c r="D68" s="86">
        <f t="shared" si="16"/>
        <v>38.922466135186703</v>
      </c>
      <c r="E68" s="86">
        <f t="shared" si="16"/>
        <v>42.847006495866268</v>
      </c>
      <c r="F68" s="86">
        <f t="shared" si="16"/>
        <v>2.5900953843207981</v>
      </c>
      <c r="G68" s="86">
        <f t="shared" si="16"/>
        <v>18.391641823845344</v>
      </c>
      <c r="H68" s="86">
        <f t="shared" si="16"/>
        <v>5.9116054837812921</v>
      </c>
      <c r="I68" s="86">
        <f t="shared" si="16"/>
        <v>0.46258173816835579</v>
      </c>
      <c r="J68" s="86">
        <f t="shared" si="16"/>
        <v>0</v>
      </c>
      <c r="K68" s="86">
        <f t="shared" si="16"/>
        <v>0</v>
      </c>
    </row>
    <row r="69" spans="1:11" x14ac:dyDescent="0.2">
      <c r="A69" s="96" t="s">
        <v>83</v>
      </c>
      <c r="B69" s="86">
        <f t="shared" ref="B69:K69" si="17">IFERROR(B12/B16,0)</f>
        <v>2.6054648396386519</v>
      </c>
      <c r="C69" s="86">
        <f t="shared" si="17"/>
        <v>3.0339951592057641</v>
      </c>
      <c r="D69" s="86">
        <f t="shared" si="17"/>
        <v>5.9277661613215846</v>
      </c>
      <c r="E69" s="86">
        <f t="shared" si="17"/>
        <v>4.62340957282328</v>
      </c>
      <c r="F69" s="86">
        <f t="shared" si="17"/>
        <v>2.3853598727535981</v>
      </c>
      <c r="G69" s="86">
        <f t="shared" si="17"/>
        <v>3.6038282058100348</v>
      </c>
      <c r="H69" s="86">
        <f t="shared" si="17"/>
        <v>2.227626742671863</v>
      </c>
      <c r="I69" s="86">
        <f t="shared" si="17"/>
        <v>1.2711320801276602</v>
      </c>
      <c r="J69" s="86">
        <f t="shared" si="17"/>
        <v>1.7643402144991207</v>
      </c>
      <c r="K69" s="86">
        <f t="shared" si="17"/>
        <v>3.269270305457197</v>
      </c>
    </row>
    <row r="70" spans="1:11" x14ac:dyDescent="0.2">
      <c r="A70" s="207" t="s">
        <v>109</v>
      </c>
      <c r="B70" s="208"/>
      <c r="C70" s="208"/>
      <c r="D70" s="208"/>
      <c r="E70" s="208"/>
      <c r="F70" s="208"/>
      <c r="G70" s="208"/>
      <c r="H70" s="208"/>
      <c r="I70" s="208"/>
      <c r="J70" s="208"/>
      <c r="K70" s="208"/>
    </row>
    <row r="71" spans="1:11" x14ac:dyDescent="0.2">
      <c r="A71" s="96" t="s">
        <v>85</v>
      </c>
      <c r="B71" s="86">
        <f t="shared" ref="B71:K71" si="18">IFERROR(B32/B12,0)</f>
        <v>0.61619132801704268</v>
      </c>
      <c r="C71" s="86">
        <f t="shared" si="18"/>
        <v>0.67040158316189702</v>
      </c>
      <c r="D71" s="86">
        <f t="shared" si="18"/>
        <v>0.83130238730991846</v>
      </c>
      <c r="E71" s="86">
        <f t="shared" si="18"/>
        <v>0.78370940660804334</v>
      </c>
      <c r="F71" s="86">
        <f t="shared" si="18"/>
        <v>0.58077604498074087</v>
      </c>
      <c r="G71" s="86">
        <f t="shared" si="18"/>
        <v>0.72251729469573056</v>
      </c>
      <c r="H71" s="86">
        <f t="shared" si="18"/>
        <v>0.55109176019292228</v>
      </c>
      <c r="I71" s="86">
        <f t="shared" si="18"/>
        <v>0.21329969117011852</v>
      </c>
      <c r="J71" s="86">
        <f t="shared" si="18"/>
        <v>0.43321588898664287</v>
      </c>
      <c r="K71" s="86">
        <f t="shared" si="18"/>
        <v>0.69412134618212507</v>
      </c>
    </row>
    <row r="72" spans="1:11" x14ac:dyDescent="0.2">
      <c r="A72" s="207" t="s">
        <v>110</v>
      </c>
      <c r="B72" s="208"/>
      <c r="C72" s="208"/>
      <c r="D72" s="208"/>
      <c r="E72" s="208"/>
      <c r="F72" s="208"/>
      <c r="G72" s="208"/>
      <c r="H72" s="208"/>
      <c r="I72" s="208"/>
      <c r="J72" s="208"/>
      <c r="K72" s="208"/>
    </row>
    <row r="73" spans="1:11" x14ac:dyDescent="0.2">
      <c r="A73" s="96" t="s">
        <v>284</v>
      </c>
      <c r="B73" s="86">
        <f t="shared" ref="B73:K73" si="19">IFERROR(B40/B37,0)</f>
        <v>0.18434851323970095</v>
      </c>
      <c r="C73" s="86">
        <f t="shared" si="19"/>
        <v>0.14029333052675194</v>
      </c>
      <c r="D73" s="86">
        <f t="shared" si="19"/>
        <v>8.7497732673759113E-2</v>
      </c>
      <c r="E73" s="86">
        <f t="shared" si="19"/>
        <v>0.22524363510493262</v>
      </c>
      <c r="F73" s="86">
        <f t="shared" si="19"/>
        <v>3.6563402752465536E-2</v>
      </c>
      <c r="G73" s="86">
        <f t="shared" si="19"/>
        <v>0.18767963337723387</v>
      </c>
      <c r="H73" s="86">
        <f t="shared" si="19"/>
        <v>0.20484894597714473</v>
      </c>
      <c r="I73" s="86">
        <f t="shared" si="19"/>
        <v>0.24202826145232634</v>
      </c>
      <c r="J73" s="86">
        <f t="shared" si="19"/>
        <v>0.15226203975460614</v>
      </c>
      <c r="K73" s="86">
        <f t="shared" si="19"/>
        <v>0.27338129844589104</v>
      </c>
    </row>
    <row r="74" spans="1:11" x14ac:dyDescent="0.2">
      <c r="A74" s="96" t="s">
        <v>88</v>
      </c>
      <c r="B74" s="86">
        <f t="shared" ref="B74:K74" si="20">IFERROR(+B45/B37,0)</f>
        <v>8.6058885545183844E-2</v>
      </c>
      <c r="C74" s="86">
        <f t="shared" si="20"/>
        <v>6.1552673453197981E-2</v>
      </c>
      <c r="D74" s="86">
        <f t="shared" si="20"/>
        <v>4.8614466723130058E-2</v>
      </c>
      <c r="E74" s="86">
        <f t="shared" si="20"/>
        <v>0.14416587739169584</v>
      </c>
      <c r="F74" s="86">
        <f t="shared" si="20"/>
        <v>0.27274987018842467</v>
      </c>
      <c r="G74" s="86">
        <f t="shared" si="20"/>
        <v>0.23393886593419103</v>
      </c>
      <c r="H74" s="86">
        <f t="shared" si="20"/>
        <v>0.20624364247309634</v>
      </c>
      <c r="I74" s="86">
        <f t="shared" si="20"/>
        <v>6.1347608834095839E-2</v>
      </c>
      <c r="J74" s="86">
        <f t="shared" si="20"/>
        <v>9.5643261862812676E-2</v>
      </c>
      <c r="K74" s="86">
        <f t="shared" si="20"/>
        <v>0.19746106620917639</v>
      </c>
    </row>
    <row r="75" spans="1:11" x14ac:dyDescent="0.2">
      <c r="A75" s="207" t="s">
        <v>89</v>
      </c>
      <c r="B75" s="208"/>
      <c r="C75" s="208"/>
      <c r="D75" s="208"/>
      <c r="E75" s="208"/>
      <c r="F75" s="208"/>
      <c r="G75" s="208"/>
      <c r="H75" s="208"/>
      <c r="I75" s="208"/>
      <c r="J75" s="208"/>
      <c r="K75" s="208"/>
    </row>
    <row r="76" spans="1:11" x14ac:dyDescent="0.2">
      <c r="A76" s="204" t="s">
        <v>194</v>
      </c>
      <c r="B76" s="205">
        <f t="shared" ref="B76:K76" si="21">B10-B14</f>
        <v>1294084964</v>
      </c>
      <c r="C76" s="205">
        <f t="shared" si="21"/>
        <v>1550983168</v>
      </c>
      <c r="D76" s="205">
        <f t="shared" si="21"/>
        <v>2159083596</v>
      </c>
      <c r="E76" s="205">
        <f t="shared" si="21"/>
        <v>3012947526</v>
      </c>
      <c r="F76" s="205">
        <f t="shared" si="21"/>
        <v>6060593975</v>
      </c>
      <c r="G76" s="205">
        <f t="shared" si="21"/>
        <v>6639227700</v>
      </c>
      <c r="H76" s="205">
        <f t="shared" si="21"/>
        <v>1156575000</v>
      </c>
      <c r="I76" s="205">
        <f t="shared" si="21"/>
        <v>2003501000</v>
      </c>
      <c r="J76" s="205">
        <f t="shared" si="21"/>
        <v>201015022</v>
      </c>
      <c r="K76" s="205">
        <f t="shared" si="21"/>
        <v>401900449</v>
      </c>
    </row>
    <row r="77" spans="1:11" x14ac:dyDescent="0.2">
      <c r="A77" s="207" t="s">
        <v>219</v>
      </c>
      <c r="B77" s="208"/>
      <c r="C77" s="208"/>
      <c r="D77" s="208"/>
      <c r="E77" s="208"/>
      <c r="F77" s="208"/>
      <c r="G77" s="208"/>
      <c r="H77" s="208"/>
      <c r="I77" s="208"/>
      <c r="J77" s="208"/>
      <c r="K77" s="208"/>
    </row>
    <row r="78" spans="1:11" x14ac:dyDescent="0.2">
      <c r="A78" s="96" t="s">
        <v>220</v>
      </c>
      <c r="B78" s="86"/>
      <c r="C78" s="86">
        <f>IFERROR(C12/B12-1,"")</f>
        <v>4.8576553237199782E-2</v>
      </c>
      <c r="D78" s="86"/>
      <c r="E78" s="86">
        <f>IFERROR(E12/D12-1,"")</f>
        <v>0.34515608034490275</v>
      </c>
      <c r="F78" s="86"/>
      <c r="G78" s="86">
        <f>IFERROR(G12/F12-1,"")</f>
        <v>3.3510870965918205E-3</v>
      </c>
      <c r="H78" s="86"/>
      <c r="I78" s="86">
        <f>IFERROR(I12/H12-1,"")</f>
        <v>0.11813596874026788</v>
      </c>
      <c r="J78" s="86"/>
      <c r="K78" s="86">
        <f>IFERROR(K12/J12-1,"")</f>
        <v>-7.1703723545875619E-2</v>
      </c>
    </row>
    <row r="79" spans="1:11" x14ac:dyDescent="0.2">
      <c r="A79" s="96" t="s">
        <v>221</v>
      </c>
      <c r="B79" s="86"/>
      <c r="C79" s="86">
        <f>IFERROR(C16/B16-1,"")</f>
        <v>-9.9527455461003722E-2</v>
      </c>
      <c r="D79" s="86"/>
      <c r="E79" s="86">
        <f>IFERROR(E16/D16-1,"")</f>
        <v>0.72465159514200672</v>
      </c>
      <c r="F79" s="86"/>
      <c r="G79" s="86">
        <f>IFERROR(G16/F16-1,"")</f>
        <v>-0.33588581786851435</v>
      </c>
      <c r="H79" s="86"/>
      <c r="I79" s="86">
        <f>IFERROR(I16/H16-1,"")</f>
        <v>0.95950493646496593</v>
      </c>
      <c r="J79" s="86"/>
      <c r="K79" s="86">
        <f>IFERROR(K16/J16-1,"")</f>
        <v>-0.49902262630781158</v>
      </c>
    </row>
    <row r="80" spans="1:11" x14ac:dyDescent="0.2">
      <c r="A80" s="96" t="s">
        <v>222</v>
      </c>
      <c r="B80" s="86"/>
      <c r="C80" s="86">
        <f>IFERROR(C32/B32-1,"")</f>
        <v>0.1408264761188287</v>
      </c>
      <c r="D80" s="86"/>
      <c r="E80" s="86">
        <f>IFERROR(E32/D32-1,"")</f>
        <v>0.26814440763693348</v>
      </c>
      <c r="F80" s="86"/>
      <c r="G80" s="86">
        <f>IFERROR(G32/F32-1,"")</f>
        <v>0.24822385383179779</v>
      </c>
      <c r="H80" s="86"/>
      <c r="I80" s="86">
        <f>IFERROR(I32/H32-1,"")</f>
        <v>-0.56722623336808975</v>
      </c>
      <c r="J80" s="86"/>
      <c r="K80" s="86">
        <f>IFERROR(K32/J32-1,"")</f>
        <v>0.48736525471266345</v>
      </c>
    </row>
    <row r="81" spans="1:11" x14ac:dyDescent="0.2">
      <c r="A81" s="96" t="s">
        <v>61</v>
      </c>
      <c r="B81" s="86"/>
      <c r="C81" s="86">
        <f>IFERROR(C37/B37-1,"")</f>
        <v>0.12313879518168824</v>
      </c>
      <c r="D81" s="86"/>
      <c r="E81" s="86">
        <f>IFERROR(E37/D37-1,"")</f>
        <v>0.44733014157614126</v>
      </c>
      <c r="F81" s="86"/>
      <c r="G81" s="86">
        <f>IFERROR(G37/F37-1,"")</f>
        <v>0.27589959962641153</v>
      </c>
      <c r="H81" s="86"/>
      <c r="I81" s="86">
        <f>IFERROR(I37/H37-1,"")</f>
        <v>0.17064475731595219</v>
      </c>
      <c r="J81" s="86"/>
      <c r="K81" s="86">
        <f>IFERROR(K37/J37-1,"")</f>
        <v>-2.125846528941655E-2</v>
      </c>
    </row>
    <row r="82" spans="1:11" x14ac:dyDescent="0.2">
      <c r="A82" s="96" t="s">
        <v>223</v>
      </c>
      <c r="B82" s="86"/>
      <c r="C82" s="86" t="str">
        <f>IFERROR(C38/B38-1,"")</f>
        <v/>
      </c>
      <c r="D82" s="86"/>
      <c r="E82" s="86" t="str">
        <f>IFERROR(E38/D38-1,"")</f>
        <v/>
      </c>
      <c r="F82" s="86"/>
      <c r="G82" s="86">
        <f>IFERROR(G38/F38-1,"")</f>
        <v>5.2693568697184778E-2</v>
      </c>
      <c r="H82" s="86"/>
      <c r="I82" s="86" t="str">
        <f>IFERROR(I38/H38-1,"")</f>
        <v/>
      </c>
      <c r="J82" s="86"/>
      <c r="K82" s="86">
        <f>IFERROR(K38/J38-1,"")</f>
        <v>-0.15692382598314492</v>
      </c>
    </row>
    <row r="83" spans="1:11" x14ac:dyDescent="0.2">
      <c r="A83" s="96" t="s">
        <v>224</v>
      </c>
      <c r="B83" s="86"/>
      <c r="C83" s="86">
        <f>IFERROR(C39/B39-1,"")</f>
        <v>0.18380206330158289</v>
      </c>
      <c r="D83" s="86"/>
      <c r="E83" s="86">
        <f>IFERROR(E39/D39-1,"")</f>
        <v>0.22884981160237872</v>
      </c>
      <c r="F83" s="86"/>
      <c r="G83" s="86">
        <f>IFERROR(G39/F39-1,"")</f>
        <v>9.9345438687820087E-2</v>
      </c>
      <c r="H83" s="86"/>
      <c r="I83" s="86">
        <f>IFERROR(I39/H39-1,"")</f>
        <v>0.11590827608836629</v>
      </c>
      <c r="J83" s="86"/>
      <c r="K83" s="86">
        <f>IFERROR(K39/J39-1,"")</f>
        <v>-0.17174686680147089</v>
      </c>
    </row>
    <row r="84" spans="1:11" x14ac:dyDescent="0.2">
      <c r="A84" s="96" t="s">
        <v>64</v>
      </c>
      <c r="B84" s="86"/>
      <c r="C84" s="86">
        <f>IFERROR(C40/B40-1,"")</f>
        <v>-0.14526632490405778</v>
      </c>
      <c r="D84" s="86"/>
      <c r="E84" s="86">
        <f>IFERROR(E40/D40-1,"")</f>
        <v>2.7258325710114772</v>
      </c>
      <c r="F84" s="86"/>
      <c r="G84" s="86">
        <f>IFERROR(G40/F40-1,"")</f>
        <v>5.5491817242829562</v>
      </c>
      <c r="H84" s="86"/>
      <c r="I84" s="86">
        <f>IFERROR(I40/H40-1,"")</f>
        <v>0.38311239064452773</v>
      </c>
      <c r="J84" s="86"/>
      <c r="K84" s="86">
        <f>IFERROR(K40/J40-1,"")</f>
        <v>0.75729703892929123</v>
      </c>
    </row>
    <row r="85" spans="1:11" x14ac:dyDescent="0.2">
      <c r="A85" s="96"/>
      <c r="B85" s="86"/>
      <c r="C85" s="86"/>
      <c r="D85" s="86"/>
      <c r="E85" s="86"/>
      <c r="F85" s="86"/>
      <c r="G85" s="86"/>
      <c r="H85" s="86"/>
      <c r="I85" s="86"/>
      <c r="J85" s="86"/>
      <c r="K85" s="86"/>
    </row>
    <row r="86" spans="1:11" x14ac:dyDescent="0.2">
      <c r="A86" s="216"/>
    </row>
    <row r="87" spans="1:11" x14ac:dyDescent="0.2">
      <c r="A87" s="216"/>
    </row>
    <row r="88" spans="1:11" x14ac:dyDescent="0.2">
      <c r="A88" s="216"/>
    </row>
    <row r="89" spans="1:11" x14ac:dyDescent="0.2">
      <c r="A89" s="216"/>
    </row>
    <row r="90" spans="1:11" x14ac:dyDescent="0.2">
      <c r="A90" s="216"/>
    </row>
    <row r="91" spans="1:11" x14ac:dyDescent="0.2">
      <c r="A91" s="216"/>
    </row>
    <row r="92" spans="1:11" x14ac:dyDescent="0.2">
      <c r="A92" s="216"/>
    </row>
    <row r="93" spans="1:11" x14ac:dyDescent="0.2">
      <c r="A93" s="216"/>
    </row>
    <row r="94" spans="1:11" x14ac:dyDescent="0.2">
      <c r="A94" s="216"/>
    </row>
    <row r="95" spans="1:11" x14ac:dyDescent="0.2">
      <c r="A95" s="216"/>
    </row>
    <row r="96" spans="1:11"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216"/>
    </row>
    <row r="127" spans="1:1" x14ac:dyDescent="0.2">
      <c r="A127" s="333" t="s">
        <v>103</v>
      </c>
    </row>
    <row r="128" spans="1:1" x14ac:dyDescent="0.2">
      <c r="A128" s="333"/>
    </row>
    <row r="129" spans="1:15" x14ac:dyDescent="0.2">
      <c r="A129" s="333" t="s">
        <v>285</v>
      </c>
    </row>
    <row r="130" spans="1:15" x14ac:dyDescent="0.2">
      <c r="A130" s="333"/>
    </row>
    <row r="131" spans="1:15" ht="24" x14ac:dyDescent="0.2">
      <c r="A131" s="244" t="s">
        <v>104</v>
      </c>
    </row>
    <row r="132" spans="1:15" x14ac:dyDescent="0.2">
      <c r="A132" s="216"/>
    </row>
    <row r="133" spans="1:15" x14ac:dyDescent="0.2">
      <c r="A133" s="216"/>
    </row>
    <row r="134" spans="1:15" x14ac:dyDescent="0.2">
      <c r="A134" s="216"/>
    </row>
    <row r="135" spans="1:15" x14ac:dyDescent="0.2">
      <c r="A135" s="216"/>
    </row>
    <row r="136" spans="1:15" x14ac:dyDescent="0.2">
      <c r="A136" s="216"/>
    </row>
    <row r="137" spans="1:15" x14ac:dyDescent="0.2">
      <c r="A137" s="216"/>
    </row>
    <row r="138" spans="1:15" x14ac:dyDescent="0.2">
      <c r="A138" s="216"/>
    </row>
    <row r="139" spans="1:15" x14ac:dyDescent="0.2">
      <c r="B139" s="245"/>
      <c r="C139" s="245"/>
      <c r="D139" s="245"/>
      <c r="E139" s="245"/>
      <c r="F139" s="245"/>
      <c r="G139" s="245"/>
      <c r="H139" s="245"/>
      <c r="I139" s="245"/>
      <c r="J139" s="245"/>
      <c r="K139" s="245"/>
      <c r="N139" s="245"/>
      <c r="O139" s="245"/>
    </row>
    <row r="140" spans="1:15" x14ac:dyDescent="0.2">
      <c r="B140" s="245"/>
      <c r="C140" s="245"/>
      <c r="D140" s="245"/>
      <c r="E140" s="245"/>
      <c r="F140" s="245"/>
      <c r="G140" s="245"/>
      <c r="H140" s="245"/>
      <c r="I140" s="245"/>
      <c r="J140" s="245"/>
      <c r="K140" s="245"/>
      <c r="N140" s="245"/>
      <c r="O140" s="245"/>
    </row>
    <row r="142" spans="1:15" x14ac:dyDescent="0.2">
      <c r="A142" s="244"/>
    </row>
    <row r="143" spans="1:15" x14ac:dyDescent="0.2">
      <c r="A143" s="216"/>
    </row>
    <row r="144" spans="1:15" x14ac:dyDescent="0.2">
      <c r="A144" s="216"/>
    </row>
    <row r="145" spans="1:15" x14ac:dyDescent="0.2">
      <c r="A145" s="216"/>
    </row>
    <row r="146" spans="1:15" x14ac:dyDescent="0.2">
      <c r="B146" s="245"/>
      <c r="C146" s="245"/>
      <c r="D146" s="245"/>
      <c r="E146" s="245"/>
      <c r="F146" s="245"/>
      <c r="G146" s="245"/>
      <c r="H146" s="245"/>
      <c r="I146" s="245"/>
      <c r="J146" s="245"/>
      <c r="K146" s="245"/>
      <c r="N146" s="245"/>
      <c r="O146" s="245"/>
    </row>
    <row r="149" spans="1:15" x14ac:dyDescent="0.2">
      <c r="B149" s="245"/>
      <c r="C149" s="245"/>
      <c r="D149" s="245"/>
      <c r="E149" s="245"/>
      <c r="F149" s="245"/>
      <c r="G149" s="245"/>
      <c r="H149" s="245"/>
      <c r="I149" s="245"/>
      <c r="J149" s="245"/>
      <c r="K149" s="245"/>
      <c r="N149" s="245"/>
      <c r="O149" s="245"/>
    </row>
    <row r="152" spans="1:15" x14ac:dyDescent="0.2">
      <c r="B152" s="245"/>
      <c r="C152" s="245"/>
      <c r="D152" s="245"/>
      <c r="E152" s="245"/>
      <c r="F152" s="245"/>
      <c r="G152" s="245"/>
      <c r="H152" s="245"/>
      <c r="I152" s="245"/>
      <c r="J152" s="245"/>
      <c r="K152" s="245"/>
      <c r="N152" s="245"/>
      <c r="O152" s="245"/>
    </row>
    <row r="154" spans="1:15" x14ac:dyDescent="0.2">
      <c r="B154" s="245"/>
      <c r="C154" s="245"/>
      <c r="D154" s="245"/>
      <c r="E154" s="245"/>
      <c r="F154" s="245"/>
      <c r="G154" s="245"/>
      <c r="H154" s="245"/>
      <c r="I154" s="245"/>
      <c r="J154" s="245"/>
      <c r="K154" s="245"/>
      <c r="N154" s="245"/>
      <c r="O154" s="245"/>
    </row>
    <row r="159" spans="1:15" x14ac:dyDescent="0.2">
      <c r="B159" s="228"/>
      <c r="C159" s="228"/>
      <c r="D159" s="228"/>
      <c r="E159" s="228"/>
      <c r="F159" s="228"/>
      <c r="G159" s="228"/>
      <c r="H159" s="228"/>
      <c r="I159" s="228"/>
      <c r="J159" s="228"/>
      <c r="K159" s="228"/>
      <c r="N159" s="228"/>
      <c r="O159" s="228"/>
    </row>
    <row r="168" spans="1:15" s="216" customFormat="1" ht="12" x14ac:dyDescent="0.2">
      <c r="A168" s="214"/>
    </row>
    <row r="169" spans="1:15" s="216" customFormat="1" ht="12" x14ac:dyDescent="0.2"/>
    <row r="170" spans="1:15" s="216" customFormat="1" ht="12" x14ac:dyDescent="0.2"/>
    <row r="175" spans="1:15" x14ac:dyDescent="0.2">
      <c r="B175" s="245"/>
      <c r="C175" s="245"/>
      <c r="D175" s="245"/>
      <c r="E175" s="245"/>
      <c r="F175" s="245"/>
      <c r="G175" s="245"/>
      <c r="H175" s="245"/>
      <c r="I175" s="245"/>
      <c r="J175" s="245"/>
      <c r="K175" s="245"/>
      <c r="N175" s="245"/>
      <c r="O175" s="245"/>
    </row>
    <row r="180" spans="2:15" x14ac:dyDescent="0.2">
      <c r="B180" s="245"/>
      <c r="C180" s="245"/>
      <c r="D180" s="245"/>
      <c r="E180" s="245"/>
      <c r="F180" s="245"/>
      <c r="G180" s="245"/>
      <c r="H180" s="245"/>
      <c r="I180" s="245"/>
      <c r="J180" s="245"/>
      <c r="K180" s="245"/>
      <c r="N180" s="245"/>
      <c r="O180" s="245"/>
    </row>
    <row r="185" spans="2:15" x14ac:dyDescent="0.2">
      <c r="B185" s="245"/>
      <c r="C185" s="245"/>
      <c r="D185" s="245"/>
      <c r="E185" s="245"/>
      <c r="F185" s="245"/>
      <c r="G185" s="245"/>
      <c r="H185" s="245"/>
      <c r="I185" s="245"/>
      <c r="J185" s="245"/>
      <c r="K185" s="245"/>
      <c r="N185" s="245"/>
      <c r="O185" s="245"/>
    </row>
    <row r="186" spans="2:15" x14ac:dyDescent="0.2">
      <c r="B186" s="245"/>
      <c r="C186" s="245"/>
      <c r="D186" s="245"/>
      <c r="E186" s="245"/>
      <c r="F186" s="245"/>
      <c r="G186" s="245"/>
      <c r="H186" s="245"/>
      <c r="I186" s="245"/>
      <c r="J186" s="245"/>
      <c r="K186" s="245"/>
      <c r="N186" s="245"/>
      <c r="O186" s="245"/>
    </row>
    <row r="190" spans="2:15" x14ac:dyDescent="0.2">
      <c r="B190" s="245"/>
      <c r="C190" s="245"/>
      <c r="D190" s="245"/>
      <c r="E190" s="245"/>
      <c r="F190" s="245"/>
      <c r="G190" s="245"/>
      <c r="H190" s="245"/>
      <c r="I190" s="245"/>
      <c r="J190" s="245"/>
      <c r="K190" s="245"/>
      <c r="N190" s="245"/>
      <c r="O190" s="245"/>
    </row>
    <row r="196" spans="2:15" x14ac:dyDescent="0.2">
      <c r="B196" s="228"/>
      <c r="C196" s="216"/>
      <c r="D196" s="228"/>
      <c r="E196" s="216"/>
      <c r="F196" s="228"/>
      <c r="G196" s="216"/>
      <c r="H196" s="228"/>
      <c r="I196" s="216"/>
      <c r="J196" s="228"/>
      <c r="K196" s="216"/>
      <c r="N196" s="228"/>
      <c r="O196" s="216"/>
    </row>
    <row r="197" spans="2:15" x14ac:dyDescent="0.2">
      <c r="B197" s="228"/>
      <c r="C197" s="216"/>
      <c r="D197" s="228"/>
      <c r="E197" s="216"/>
      <c r="F197" s="228"/>
      <c r="G197" s="216"/>
      <c r="H197" s="228"/>
      <c r="I197" s="216"/>
      <c r="J197" s="228"/>
      <c r="K197" s="216"/>
      <c r="N197" s="228"/>
      <c r="O197" s="216"/>
    </row>
    <row r="198" spans="2:15" x14ac:dyDescent="0.2">
      <c r="B198" s="246"/>
      <c r="C198" s="245"/>
      <c r="D198" s="246"/>
      <c r="E198" s="245"/>
      <c r="F198" s="246"/>
      <c r="G198" s="245"/>
      <c r="H198" s="246"/>
      <c r="I198" s="245"/>
      <c r="J198" s="246"/>
      <c r="K198" s="245"/>
      <c r="N198" s="246"/>
      <c r="O198" s="245"/>
    </row>
    <row r="199" spans="2:15" x14ac:dyDescent="0.2">
      <c r="B199" s="246"/>
      <c r="C199" s="245"/>
      <c r="D199" s="246"/>
      <c r="E199" s="245"/>
      <c r="F199" s="246"/>
      <c r="G199" s="245"/>
      <c r="H199" s="246"/>
      <c r="I199" s="245"/>
      <c r="J199" s="246"/>
      <c r="K199" s="245"/>
      <c r="N199" s="246"/>
      <c r="O199" s="245"/>
    </row>
    <row r="200" spans="2:15" x14ac:dyDescent="0.2">
      <c r="B200" s="246"/>
      <c r="C200" s="245"/>
      <c r="D200" s="246"/>
      <c r="E200" s="245"/>
      <c r="F200" s="246"/>
      <c r="G200" s="245"/>
      <c r="H200" s="246"/>
      <c r="I200" s="245"/>
      <c r="J200" s="246"/>
      <c r="K200" s="245"/>
      <c r="N200" s="246"/>
      <c r="O200" s="245"/>
    </row>
    <row r="201" spans="2:15" x14ac:dyDescent="0.2">
      <c r="B201" s="246"/>
      <c r="C201" s="245"/>
      <c r="D201" s="246"/>
      <c r="E201" s="245"/>
      <c r="F201" s="246"/>
      <c r="G201" s="245"/>
      <c r="H201" s="246"/>
      <c r="I201" s="245"/>
      <c r="J201" s="246"/>
      <c r="K201" s="245"/>
      <c r="N201" s="246"/>
      <c r="O201" s="245"/>
    </row>
    <row r="202" spans="2:15" x14ac:dyDescent="0.2">
      <c r="B202" s="245"/>
      <c r="C202" s="245"/>
      <c r="D202" s="245"/>
      <c r="E202" s="245"/>
      <c r="F202" s="245"/>
      <c r="G202" s="245"/>
      <c r="H202" s="245"/>
      <c r="I202" s="245"/>
      <c r="J202" s="245"/>
      <c r="K202" s="245"/>
      <c r="N202" s="245"/>
      <c r="O202" s="245"/>
    </row>
    <row r="203" spans="2:15" x14ac:dyDescent="0.2">
      <c r="B203" s="245"/>
      <c r="C203" s="245"/>
      <c r="D203" s="245"/>
      <c r="E203" s="245"/>
      <c r="F203" s="245"/>
      <c r="G203" s="245"/>
      <c r="H203" s="245"/>
      <c r="I203" s="245"/>
      <c r="J203" s="245"/>
      <c r="K203" s="245"/>
      <c r="N203" s="245"/>
      <c r="O203" s="245"/>
    </row>
    <row r="204" spans="2:15" x14ac:dyDescent="0.2">
      <c r="B204" s="245"/>
      <c r="C204" s="245"/>
      <c r="D204" s="245"/>
      <c r="E204" s="245"/>
      <c r="F204" s="245"/>
      <c r="G204" s="245"/>
      <c r="H204" s="245"/>
      <c r="I204" s="245"/>
      <c r="J204" s="245"/>
      <c r="K204" s="245"/>
      <c r="N204" s="245"/>
      <c r="O204" s="245"/>
    </row>
    <row r="205" spans="2:15" x14ac:dyDescent="0.2">
      <c r="B205" s="245"/>
      <c r="C205" s="245"/>
      <c r="D205" s="245"/>
      <c r="E205" s="245"/>
      <c r="F205" s="245"/>
      <c r="G205" s="245"/>
      <c r="H205" s="245"/>
      <c r="I205" s="245"/>
      <c r="J205" s="245"/>
      <c r="K205" s="245"/>
      <c r="N205" s="245"/>
      <c r="O205" s="245"/>
    </row>
    <row r="206" spans="2:15" x14ac:dyDescent="0.2">
      <c r="B206" s="245"/>
      <c r="C206" s="245"/>
      <c r="D206" s="245"/>
      <c r="E206" s="245"/>
      <c r="F206" s="245"/>
      <c r="G206" s="245"/>
      <c r="H206" s="245"/>
      <c r="I206" s="245"/>
      <c r="J206" s="245"/>
      <c r="K206" s="245"/>
      <c r="N206" s="245"/>
      <c r="O206" s="245"/>
    </row>
    <row r="207" spans="2:15" x14ac:dyDescent="0.2">
      <c r="B207" s="245"/>
      <c r="C207" s="245"/>
      <c r="D207" s="245"/>
      <c r="E207" s="245"/>
      <c r="F207" s="245"/>
      <c r="G207" s="245"/>
      <c r="H207" s="245"/>
      <c r="I207" s="245"/>
      <c r="J207" s="245"/>
      <c r="K207" s="245"/>
      <c r="N207" s="245"/>
      <c r="O207" s="245"/>
    </row>
    <row r="208" spans="2:15" x14ac:dyDescent="0.2">
      <c r="B208" s="245"/>
      <c r="C208" s="245"/>
      <c r="D208" s="245"/>
      <c r="E208" s="245"/>
      <c r="F208" s="245"/>
      <c r="G208" s="245"/>
      <c r="H208" s="245"/>
      <c r="I208" s="245"/>
      <c r="J208" s="245"/>
      <c r="K208" s="245"/>
      <c r="N208" s="245"/>
      <c r="O208" s="245"/>
    </row>
    <row r="209" spans="2:15" x14ac:dyDescent="0.2">
      <c r="B209" s="245"/>
      <c r="C209" s="245"/>
      <c r="D209" s="245"/>
      <c r="E209" s="245"/>
      <c r="F209" s="245"/>
      <c r="G209" s="245"/>
      <c r="H209" s="245"/>
      <c r="I209" s="245"/>
      <c r="J209" s="245"/>
      <c r="K209" s="245"/>
      <c r="N209" s="245"/>
      <c r="O209" s="245"/>
    </row>
    <row r="210" spans="2:15" x14ac:dyDescent="0.2">
      <c r="B210" s="245"/>
      <c r="C210" s="245"/>
      <c r="D210" s="245"/>
      <c r="E210" s="245"/>
      <c r="F210" s="245"/>
      <c r="G210" s="245"/>
      <c r="H210" s="245"/>
      <c r="I210" s="245"/>
      <c r="J210" s="245"/>
      <c r="K210" s="245"/>
      <c r="N210" s="245"/>
      <c r="O210" s="245"/>
    </row>
    <row r="211" spans="2:15" x14ac:dyDescent="0.2">
      <c r="B211" s="245"/>
      <c r="C211" s="245"/>
      <c r="D211" s="245"/>
      <c r="E211" s="245"/>
      <c r="F211" s="245"/>
      <c r="G211" s="245"/>
      <c r="H211" s="245"/>
      <c r="I211" s="245"/>
      <c r="J211" s="245"/>
      <c r="K211" s="245"/>
      <c r="N211" s="245"/>
      <c r="O211" s="245"/>
    </row>
    <row r="212" spans="2:15" x14ac:dyDescent="0.2">
      <c r="B212" s="245"/>
      <c r="C212" s="245"/>
      <c r="D212" s="245"/>
      <c r="E212" s="245"/>
      <c r="F212" s="245"/>
      <c r="G212" s="245"/>
      <c r="H212" s="245"/>
      <c r="I212" s="245"/>
      <c r="J212" s="245"/>
      <c r="K212" s="245"/>
      <c r="N212" s="245"/>
      <c r="O212" s="245"/>
    </row>
    <row r="213" spans="2:15" x14ac:dyDescent="0.2">
      <c r="B213" s="245"/>
      <c r="C213" s="245"/>
      <c r="D213" s="245"/>
      <c r="E213" s="245"/>
      <c r="F213" s="245"/>
      <c r="G213" s="245"/>
      <c r="H213" s="245"/>
      <c r="I213" s="245"/>
      <c r="J213" s="245"/>
      <c r="K213" s="245"/>
      <c r="N213" s="245"/>
      <c r="O213" s="245"/>
    </row>
    <row r="214" spans="2:15" x14ac:dyDescent="0.2">
      <c r="B214" s="245"/>
      <c r="C214" s="245"/>
      <c r="D214" s="245"/>
      <c r="E214" s="245"/>
      <c r="F214" s="245"/>
      <c r="G214" s="245"/>
      <c r="H214" s="245"/>
      <c r="I214" s="245"/>
      <c r="J214" s="245"/>
      <c r="K214" s="245"/>
      <c r="N214" s="245"/>
      <c r="O214" s="245"/>
    </row>
    <row r="215" spans="2:15" x14ac:dyDescent="0.2">
      <c r="B215" s="245"/>
      <c r="C215" s="245"/>
      <c r="D215" s="245"/>
      <c r="E215" s="245"/>
      <c r="F215" s="245"/>
      <c r="G215" s="245"/>
      <c r="H215" s="245"/>
      <c r="I215" s="245"/>
      <c r="J215" s="245"/>
      <c r="K215" s="245"/>
      <c r="N215" s="245"/>
      <c r="O215" s="245"/>
    </row>
    <row r="216" spans="2:15" x14ac:dyDescent="0.2">
      <c r="B216" s="245"/>
      <c r="C216" s="245"/>
      <c r="D216" s="245"/>
      <c r="E216" s="245"/>
      <c r="F216" s="245"/>
      <c r="G216" s="245"/>
      <c r="H216" s="245"/>
      <c r="I216" s="245"/>
      <c r="J216" s="245"/>
      <c r="K216" s="245"/>
      <c r="N216" s="245"/>
      <c r="O216" s="245"/>
    </row>
    <row r="217" spans="2:15" x14ac:dyDescent="0.2">
      <c r="B217" s="245"/>
      <c r="C217" s="245"/>
      <c r="D217" s="245"/>
      <c r="E217" s="245"/>
      <c r="F217" s="245"/>
      <c r="G217" s="245"/>
      <c r="H217" s="245"/>
      <c r="I217" s="245"/>
      <c r="J217" s="245"/>
      <c r="K217" s="245"/>
      <c r="N217" s="245"/>
      <c r="O217" s="245"/>
    </row>
    <row r="218" spans="2:15" x14ac:dyDescent="0.2">
      <c r="B218" s="245"/>
      <c r="C218" s="245"/>
      <c r="D218" s="245"/>
      <c r="E218" s="245"/>
      <c r="F218" s="245"/>
      <c r="G218" s="245"/>
      <c r="H218" s="245"/>
      <c r="I218" s="245"/>
      <c r="J218" s="245"/>
      <c r="K218" s="245"/>
      <c r="N218" s="245"/>
      <c r="O218" s="245"/>
    </row>
    <row r="219" spans="2:15" x14ac:dyDescent="0.2">
      <c r="B219" s="245"/>
      <c r="C219" s="245"/>
      <c r="D219" s="245"/>
      <c r="E219" s="245"/>
      <c r="F219" s="245"/>
      <c r="G219" s="245"/>
      <c r="H219" s="245"/>
      <c r="I219" s="245"/>
      <c r="J219" s="245"/>
      <c r="K219" s="245"/>
      <c r="N219" s="245"/>
      <c r="O219" s="245"/>
    </row>
    <row r="220" spans="2:15" x14ac:dyDescent="0.2">
      <c r="B220" s="245"/>
      <c r="C220" s="245"/>
      <c r="D220" s="245"/>
      <c r="E220" s="245"/>
      <c r="F220" s="245"/>
      <c r="G220" s="245"/>
      <c r="H220" s="245"/>
      <c r="I220" s="245"/>
      <c r="J220" s="245"/>
      <c r="K220" s="245"/>
      <c r="N220" s="245"/>
      <c r="O220" s="245"/>
    </row>
    <row r="221" spans="2:15" x14ac:dyDescent="0.2">
      <c r="B221" s="245"/>
      <c r="C221" s="245"/>
      <c r="D221" s="245"/>
      <c r="E221" s="245"/>
      <c r="F221" s="245"/>
      <c r="G221" s="245"/>
      <c r="H221" s="245"/>
      <c r="I221" s="245"/>
      <c r="J221" s="245"/>
      <c r="K221" s="245"/>
      <c r="N221" s="245"/>
      <c r="O221" s="245"/>
    </row>
    <row r="222" spans="2:15" x14ac:dyDescent="0.2">
      <c r="B222" s="245"/>
      <c r="C222" s="245"/>
      <c r="D222" s="245"/>
      <c r="E222" s="245"/>
      <c r="F222" s="245"/>
      <c r="G222" s="245"/>
      <c r="H222" s="245"/>
      <c r="I222" s="245"/>
      <c r="J222" s="245"/>
      <c r="K222" s="245"/>
      <c r="N222" s="245"/>
      <c r="O222" s="245"/>
    </row>
    <row r="223" spans="2:15" x14ac:dyDescent="0.2">
      <c r="B223" s="245"/>
      <c r="C223" s="245"/>
      <c r="D223" s="245"/>
      <c r="E223" s="245"/>
      <c r="F223" s="245"/>
      <c r="G223" s="245"/>
      <c r="H223" s="245"/>
      <c r="I223" s="245"/>
      <c r="J223" s="245"/>
      <c r="K223" s="245"/>
      <c r="N223" s="245"/>
      <c r="O223" s="245"/>
    </row>
    <row r="224" spans="2:15" x14ac:dyDescent="0.2">
      <c r="B224" s="245"/>
      <c r="C224" s="245"/>
      <c r="D224" s="245"/>
      <c r="E224" s="245"/>
      <c r="F224" s="245"/>
      <c r="G224" s="245"/>
      <c r="H224" s="245"/>
      <c r="I224" s="245"/>
      <c r="J224" s="245"/>
      <c r="K224" s="245"/>
      <c r="N224" s="245"/>
      <c r="O224" s="245"/>
    </row>
    <row r="225" spans="2:15" x14ac:dyDescent="0.2">
      <c r="B225" s="245"/>
      <c r="C225" s="245"/>
      <c r="D225" s="245"/>
      <c r="E225" s="245"/>
      <c r="F225" s="245"/>
      <c r="G225" s="245"/>
      <c r="H225" s="245"/>
      <c r="I225" s="245"/>
      <c r="J225" s="245"/>
      <c r="K225" s="245"/>
      <c r="N225" s="245"/>
      <c r="O225" s="245"/>
    </row>
  </sheetData>
  <mergeCells count="17">
    <mergeCell ref="J3:K3"/>
    <mergeCell ref="F4:G4"/>
    <mergeCell ref="J4:K4"/>
    <mergeCell ref="B4:C4"/>
    <mergeCell ref="D4:E4"/>
    <mergeCell ref="D3:E3"/>
    <mergeCell ref="H3:I3"/>
    <mergeCell ref="H4:I4"/>
    <mergeCell ref="B3:C3"/>
    <mergeCell ref="F3:G3"/>
    <mergeCell ref="A127:A128"/>
    <mergeCell ref="A129:A130"/>
    <mergeCell ref="D6:E6"/>
    <mergeCell ref="F6:G6"/>
    <mergeCell ref="J6:K6"/>
    <mergeCell ref="B6:C6"/>
    <mergeCell ref="H6:I6"/>
  </mergeCells>
  <printOptions horizontalCentered="1" verticalCentered="1"/>
  <pageMargins left="0.39370078740157483" right="0.39370078740157483" top="0" bottom="0" header="0" footer="0"/>
  <pageSetup paperSize="45" scale="7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4054-1F96-4893-935C-65E047E8D17B}">
  <sheetPr codeName="Hoja7">
    <tabColor theme="3" tint="-0.249977111117893"/>
  </sheetPr>
  <dimension ref="A1:AL12"/>
  <sheetViews>
    <sheetView showGridLines="0" zoomScale="85" zoomScaleNormal="85" workbookViewId="0">
      <pane xSplit="1" ySplit="4" topLeftCell="B5" activePane="bottomRight" state="frozen"/>
      <selection pane="topRight" activeCell="B1" sqref="B1"/>
      <selection pane="bottomLeft" activeCell="A2" sqref="A2"/>
      <selection pane="bottomRight" activeCell="B5" sqref="B5"/>
    </sheetView>
  </sheetViews>
  <sheetFormatPr baseColWidth="10" defaultColWidth="10.85546875" defaultRowHeight="12.75" x14ac:dyDescent="0.2"/>
  <cols>
    <col min="1" max="1" width="69.5703125" style="263" bestFit="1" customWidth="1"/>
    <col min="2" max="2" width="18.5703125" style="263" customWidth="1"/>
    <col min="3" max="3" width="18.42578125" style="263" bestFit="1" customWidth="1"/>
    <col min="4" max="4" width="17.42578125" style="263" bestFit="1" customWidth="1"/>
    <col min="5" max="5" width="11.5703125" style="263" customWidth="1"/>
    <col min="6" max="6" width="17.28515625" style="263" customWidth="1"/>
    <col min="7" max="7" width="16.85546875" style="263" customWidth="1"/>
    <col min="8" max="8" width="26.85546875" style="263" customWidth="1"/>
    <col min="9" max="9" width="10.85546875" style="263"/>
    <col min="10" max="10" width="16.7109375" style="263" customWidth="1"/>
    <col min="11" max="11" width="17.5703125" style="263" customWidth="1"/>
    <col min="12" max="12" width="18.5703125" style="263" customWidth="1"/>
    <col min="13" max="13" width="15.140625" style="263" customWidth="1"/>
    <col min="14" max="14" width="14.42578125" style="263" customWidth="1"/>
    <col min="15" max="15" width="15.85546875" style="263" bestFit="1" customWidth="1"/>
    <col min="16" max="16" width="23.5703125" style="263" bestFit="1" customWidth="1"/>
    <col min="17" max="17" width="12" style="263" customWidth="1"/>
    <col min="18" max="20" width="10.85546875" style="263"/>
    <col min="21" max="21" width="13.7109375" style="263" customWidth="1"/>
    <col min="22" max="22" width="17.42578125" style="263" customWidth="1"/>
    <col min="23" max="23" width="13.5703125" style="263" customWidth="1"/>
    <col min="24" max="24" width="25.28515625" style="263" bestFit="1" customWidth="1"/>
    <col min="25" max="25" width="10.85546875" style="263"/>
    <col min="26" max="27" width="14.7109375" style="263" bestFit="1" customWidth="1"/>
    <col min="28" max="28" width="14.7109375" style="263" customWidth="1"/>
    <col min="29" max="29" width="15.7109375" style="263" customWidth="1"/>
    <col min="30" max="31" width="14.7109375" style="263" bestFit="1" customWidth="1"/>
    <col min="32" max="32" width="12.140625" style="263" bestFit="1" customWidth="1"/>
    <col min="33" max="33" width="10.5703125" style="263" bestFit="1" customWidth="1"/>
    <col min="34" max="35" width="13.85546875" style="263" bestFit="1" customWidth="1"/>
    <col min="36" max="36" width="12.140625" style="263" bestFit="1" customWidth="1"/>
    <col min="37" max="37" width="15.42578125" style="263" bestFit="1" customWidth="1"/>
    <col min="38" max="38" width="7.85546875" style="263" customWidth="1"/>
    <col min="39" max="16384" width="10.85546875" style="263"/>
  </cols>
  <sheetData>
    <row r="1" spans="1:38" x14ac:dyDescent="0.2">
      <c r="A1" s="265" t="s">
        <v>245</v>
      </c>
    </row>
    <row r="2" spans="1:38" x14ac:dyDescent="0.2">
      <c r="A2" s="264" t="s">
        <v>260</v>
      </c>
    </row>
    <row r="3" spans="1:38" x14ac:dyDescent="0.2">
      <c r="A3" s="264"/>
    </row>
    <row r="4" spans="1:38" s="277" customFormat="1" ht="39" customHeight="1" x14ac:dyDescent="0.2">
      <c r="A4" s="285" t="s">
        <v>225</v>
      </c>
      <c r="B4" s="285" t="s">
        <v>226</v>
      </c>
      <c r="C4" s="285" t="s">
        <v>227</v>
      </c>
      <c r="D4" s="285" t="s">
        <v>286</v>
      </c>
      <c r="E4" s="285" t="s">
        <v>287</v>
      </c>
      <c r="F4" s="285" t="s">
        <v>232</v>
      </c>
      <c r="G4" s="285" t="s">
        <v>233</v>
      </c>
      <c r="H4" s="285" t="s">
        <v>243</v>
      </c>
      <c r="I4" s="285" t="s">
        <v>244</v>
      </c>
      <c r="J4" s="285" t="s">
        <v>229</v>
      </c>
      <c r="K4" s="285" t="s">
        <v>230</v>
      </c>
      <c r="L4" s="285" t="s">
        <v>286</v>
      </c>
      <c r="M4" s="285" t="s">
        <v>288</v>
      </c>
      <c r="N4" s="285" t="s">
        <v>234</v>
      </c>
      <c r="O4" s="285" t="s">
        <v>235</v>
      </c>
      <c r="P4" s="285" t="s">
        <v>243</v>
      </c>
      <c r="Q4" s="285" t="s">
        <v>244</v>
      </c>
      <c r="R4" s="285" t="s">
        <v>253</v>
      </c>
      <c r="S4" s="285" t="s">
        <v>254</v>
      </c>
      <c r="T4" s="285" t="s">
        <v>286</v>
      </c>
      <c r="U4" s="285" t="s">
        <v>288</v>
      </c>
      <c r="V4" s="285" t="s">
        <v>234</v>
      </c>
      <c r="W4" s="285" t="s">
        <v>235</v>
      </c>
      <c r="X4" s="285" t="s">
        <v>243</v>
      </c>
      <c r="Y4" s="285" t="s">
        <v>244</v>
      </c>
      <c r="Z4" s="285" t="s">
        <v>236</v>
      </c>
      <c r="AA4" s="285" t="s">
        <v>237</v>
      </c>
      <c r="AB4" s="285" t="s">
        <v>289</v>
      </c>
      <c r="AC4" s="285" t="s">
        <v>290</v>
      </c>
      <c r="AD4" s="285" t="s">
        <v>238</v>
      </c>
      <c r="AE4" s="285" t="s">
        <v>239</v>
      </c>
      <c r="AF4" s="285" t="s">
        <v>291</v>
      </c>
      <c r="AG4" s="285" t="s">
        <v>292</v>
      </c>
      <c r="AH4" s="285" t="s">
        <v>240</v>
      </c>
      <c r="AI4" s="285" t="s">
        <v>241</v>
      </c>
      <c r="AJ4" s="285" t="s">
        <v>293</v>
      </c>
      <c r="AK4" s="285" t="s">
        <v>294</v>
      </c>
      <c r="AL4" s="285" t="s">
        <v>231</v>
      </c>
    </row>
    <row r="5" spans="1:38" x14ac:dyDescent="0.2">
      <c r="A5" s="279" t="s">
        <v>228</v>
      </c>
      <c r="B5" s="280">
        <f>+'Empresas Regulares Nacionales'!B37/1000000</f>
        <v>11260338.556</v>
      </c>
      <c r="C5" s="280">
        <f>+'Empresas Regulares Nacionales'!C37/1000000</f>
        <v>13575256.908</v>
      </c>
      <c r="D5" s="280">
        <f>+C5-B5</f>
        <v>2314918.352</v>
      </c>
      <c r="E5" s="281">
        <f>+C5/B5-1</f>
        <v>0.20558159423781364</v>
      </c>
      <c r="F5" s="281">
        <f>+B5/$B$11</f>
        <v>0.7717221733563191</v>
      </c>
      <c r="G5" s="281">
        <f>+C5/$C$11</f>
        <v>0.76394870956866834</v>
      </c>
      <c r="H5" s="282" t="str">
        <f>IF(G5&gt;F5,"Aumento de Participación","Disminución de Participación")</f>
        <v>Disminución de Participación</v>
      </c>
      <c r="I5" s="283">
        <f>+G5-F5</f>
        <v>-7.7734637876507584E-3</v>
      </c>
      <c r="J5" s="280">
        <f>+'Empresas Regulares Nacionales'!B40/1000000</f>
        <v>-256658.652</v>
      </c>
      <c r="K5" s="280">
        <f>+'Empresas Regulares Nacionales'!C40/1000000</f>
        <v>1611114.2679999999</v>
      </c>
      <c r="L5" s="280">
        <f>+K5-J5</f>
        <v>1867772.92</v>
      </c>
      <c r="M5" s="281">
        <f>+K5/J5-1</f>
        <v>-7.2772645903244282</v>
      </c>
      <c r="N5" s="281">
        <f t="shared" ref="N5:O7" si="0">+J5/J$11</f>
        <v>0.37722776516697826</v>
      </c>
      <c r="O5" s="281">
        <f t="shared" si="0"/>
        <v>0.99034939341344863</v>
      </c>
      <c r="P5" s="282" t="str">
        <f t="shared" ref="P5:P10" si="1">IF(O5&gt;N5,"Aumento de Participación","Disminución de Participación")</f>
        <v>Aumento de Participación</v>
      </c>
      <c r="Q5" s="283">
        <f>+O5-N5</f>
        <v>0.61312162824647043</v>
      </c>
      <c r="R5" s="280">
        <f>+'Empresas Regulares Nacionales'!B45/1000000</f>
        <v>-801213.58700000006</v>
      </c>
      <c r="S5" s="280">
        <f>+'Empresas Regulares Nacionales'!C45/1000000</f>
        <v>224732.58799999999</v>
      </c>
      <c r="T5" s="280">
        <f>+S5-R5</f>
        <v>1025946.175</v>
      </c>
      <c r="U5" s="281">
        <f>+S5/R5-1</f>
        <v>-1.2804902358701513</v>
      </c>
      <c r="V5" s="281">
        <f t="shared" ref="V5:W7" si="2">+R5/R$11</f>
        <v>0.64547515895166496</v>
      </c>
      <c r="W5" s="281">
        <f t="shared" si="2"/>
        <v>0.93147598505953433</v>
      </c>
      <c r="X5" s="282" t="str">
        <f t="shared" ref="X5:X10" si="3">IF(W5&gt;V5,"Aumento de Participación","Disminución de Participación")</f>
        <v>Aumento de Participación</v>
      </c>
      <c r="Y5" s="283">
        <f>+W5-V5</f>
        <v>0.28600082610786937</v>
      </c>
      <c r="Z5" s="280">
        <f>+'Empresas Regulares Nacionales'!B12/1000000</f>
        <v>17886971.238000002</v>
      </c>
      <c r="AA5" s="280">
        <f>+'Empresas Regulares Nacionales'!C12/1000000</f>
        <v>18938010.693</v>
      </c>
      <c r="AB5" s="280">
        <f>+AA5-Z5</f>
        <v>1051039.4549999982</v>
      </c>
      <c r="AC5" s="281">
        <f>+AA5/Z5-1</f>
        <v>5.8760057307361002E-2</v>
      </c>
      <c r="AD5" s="280">
        <f>+'Empresas Regulares Nacionales'!B16/1000000</f>
        <v>19333652.423999999</v>
      </c>
      <c r="AE5" s="280">
        <f>+'Empresas Regulares Nacionales'!C16/1000000</f>
        <v>20044894.932999998</v>
      </c>
      <c r="AF5" s="280">
        <f>+AE5-AD5</f>
        <v>711242.50899999961</v>
      </c>
      <c r="AG5" s="281">
        <f>+AE5/AD5-1</f>
        <v>3.678779846673419E-2</v>
      </c>
      <c r="AH5" s="280">
        <f>+'Empresas Regulares Nacionales'!B32/1000000</f>
        <v>-1446681.186</v>
      </c>
      <c r="AI5" s="280">
        <f>+'Empresas Regulares Nacionales'!C32/1000000</f>
        <v>-1106884.24</v>
      </c>
      <c r="AJ5" s="280">
        <f>+AI5-AH5</f>
        <v>339796.946</v>
      </c>
      <c r="AK5" s="281">
        <f>+AI5/AH5-1</f>
        <v>-0.23488032421263549</v>
      </c>
      <c r="AL5" s="284">
        <f>+AA5-AE5-AI5</f>
        <v>0</v>
      </c>
    </row>
    <row r="6" spans="1:38" x14ac:dyDescent="0.2">
      <c r="A6" s="275" t="s">
        <v>252</v>
      </c>
      <c r="B6" s="270">
        <f>+'Empresas Regulares Nacionales'!E37/1000000</f>
        <v>1712904.5689999999</v>
      </c>
      <c r="C6" s="270">
        <f>+'Empresas Regulares Nacionales'!F37/1000000</f>
        <v>2247093.2910000002</v>
      </c>
      <c r="D6" s="270">
        <f>+C6-B6</f>
        <v>534188.7220000003</v>
      </c>
      <c r="E6" s="271">
        <f>+C6/B6-1</f>
        <v>0.31186134456507508</v>
      </c>
      <c r="F6" s="271">
        <f>+B6/$B$11</f>
        <v>0.11739313433309606</v>
      </c>
      <c r="G6" s="271">
        <f>+C6/$C$11</f>
        <v>0.1264553615135062</v>
      </c>
      <c r="H6" s="272" t="str">
        <f t="shared" ref="H6:H10" si="4">IF(G6&gt;F6,"Aumento de Participación","Disminución de Participación")</f>
        <v>Aumento de Participación</v>
      </c>
      <c r="I6" s="273">
        <f>+G6-F6</f>
        <v>9.0622271804101373E-3</v>
      </c>
      <c r="J6" s="270">
        <f>+'Empresas Regulares Nacionales'!E40/1000000</f>
        <v>-365478.89299999998</v>
      </c>
      <c r="K6" s="270">
        <f>+'Empresas Regulares Nacionales'!F40/1000000</f>
        <v>-36869.603000000003</v>
      </c>
      <c r="L6" s="270">
        <f>+K6-J6</f>
        <v>328609.28999999998</v>
      </c>
      <c r="M6" s="271">
        <f>+K6/J6-1</f>
        <v>-0.89911974752533796</v>
      </c>
      <c r="N6" s="271">
        <f t="shared" si="0"/>
        <v>0.53716788796230086</v>
      </c>
      <c r="O6" s="271">
        <f t="shared" si="0"/>
        <v>-2.2663686674299049E-2</v>
      </c>
      <c r="P6" s="272" t="str">
        <f t="shared" si="1"/>
        <v>Disminución de Participación</v>
      </c>
      <c r="Q6" s="273">
        <f>+O6-N6</f>
        <v>-0.55983157463659994</v>
      </c>
      <c r="R6" s="270">
        <f>+'Empresas Regulares Nacionales'!E45/1000000</f>
        <v>-422853.27299999999</v>
      </c>
      <c r="S6" s="270">
        <f>+'Empresas Regulares Nacionales'!F45/1000000</f>
        <v>-58698.042000000001</v>
      </c>
      <c r="T6" s="270">
        <f>+S6-R6</f>
        <v>364155.23099999997</v>
      </c>
      <c r="U6" s="271">
        <f>+S6/R6-1</f>
        <v>-0.86118579245335536</v>
      </c>
      <c r="V6" s="271">
        <f t="shared" si="2"/>
        <v>0.34065982907864334</v>
      </c>
      <c r="W6" s="271">
        <f t="shared" si="2"/>
        <v>-0.2432927817883534</v>
      </c>
      <c r="X6" s="272" t="str">
        <f t="shared" si="3"/>
        <v>Disminución de Participación</v>
      </c>
      <c r="Y6" s="273">
        <f>+W6-V6</f>
        <v>-0.58395261086699679</v>
      </c>
      <c r="Z6" s="276">
        <f>+'Empresas Regulares Nacionales'!E12/1000000</f>
        <v>941581.82299999997</v>
      </c>
      <c r="AA6" s="276">
        <f>+'Empresas Regulares Nacionales'!F12/1000000</f>
        <v>1071289.585</v>
      </c>
      <c r="AB6" s="270">
        <f t="shared" ref="AB6:AB10" si="5">+AA6-Z6</f>
        <v>129707.76199999999</v>
      </c>
      <c r="AC6" s="271">
        <f t="shared" ref="AC6:AC11" si="6">+AA6/Z6-1</f>
        <v>0.13775516777366681</v>
      </c>
      <c r="AD6" s="270">
        <f>+'Empresas Regulares Nacionales'!E16/1000000</f>
        <v>1435241.345</v>
      </c>
      <c r="AE6" s="270">
        <f>+'Empresas Regulares Nacionales'!F16/1000000</f>
        <v>1048045.4669999999</v>
      </c>
      <c r="AF6" s="270">
        <f t="shared" ref="AF6:AF10" si="7">+AE6-AD6</f>
        <v>-387195.87800000003</v>
      </c>
      <c r="AG6" s="271">
        <f t="shared" ref="AG6:AG11" si="8">+AE6/AD6-1</f>
        <v>-0.26977753905215152</v>
      </c>
      <c r="AH6" s="270">
        <f>+'Empresas Regulares Nacionales'!E32/1000000</f>
        <v>-493659.522</v>
      </c>
      <c r="AI6" s="270">
        <f>+'Empresas Regulares Nacionales'!F32/1000000</f>
        <v>23244.117999999999</v>
      </c>
      <c r="AJ6" s="270">
        <f t="shared" ref="AJ6:AJ10" si="9">+AI6-AH6</f>
        <v>516903.64</v>
      </c>
      <c r="AK6" s="271">
        <f t="shared" ref="AK6:AK11" si="10">+AI6/AH6-1</f>
        <v>-1.0470853229080426</v>
      </c>
      <c r="AL6" s="274">
        <f t="shared" ref="AL6:AL11" si="11">+AA6-AE6-AI6</f>
        <v>0</v>
      </c>
    </row>
    <row r="7" spans="1:38" x14ac:dyDescent="0.2">
      <c r="A7" s="269" t="s">
        <v>295</v>
      </c>
      <c r="B7" s="270">
        <f>+'Empresas Regulares Nacionales'!H37/1000000</f>
        <v>658117.55299999996</v>
      </c>
      <c r="C7" s="270">
        <f>+'Empresas Regulares Nacionales'!I37/1000000</f>
        <v>820806.95700000005</v>
      </c>
      <c r="D7" s="270">
        <f>+C7-B7</f>
        <v>162689.4040000001</v>
      </c>
      <c r="E7" s="271">
        <f>+C7/B7-1</f>
        <v>0.24720417083298818</v>
      </c>
      <c r="F7" s="271">
        <f>+B7/$B$11</f>
        <v>4.5103786693383191E-2</v>
      </c>
      <c r="G7" s="271">
        <f>+C7/$C$11</f>
        <v>4.6190979651781587E-2</v>
      </c>
      <c r="H7" s="272" t="str">
        <f t="shared" si="4"/>
        <v>Aumento de Participación</v>
      </c>
      <c r="I7" s="273">
        <f>+G7-F7</f>
        <v>1.0871929583983961E-3</v>
      </c>
      <c r="J7" s="270">
        <f>+'Empresas Regulares Nacionales'!H40/1000000</f>
        <v>-32371.126</v>
      </c>
      <c r="K7" s="270">
        <f>+'Empresas Regulares Nacionales'!I40/1000000</f>
        <v>57208.093000000001</v>
      </c>
      <c r="L7" s="270">
        <f>+K7-J7</f>
        <v>89579.218999999997</v>
      </c>
      <c r="M7" s="271">
        <f>+K7/J7-1</f>
        <v>-2.7672568139891087</v>
      </c>
      <c r="N7" s="271">
        <f t="shared" si="0"/>
        <v>4.7577930538334881E-2</v>
      </c>
      <c r="O7" s="271">
        <f t="shared" si="0"/>
        <v>3.5165724322720825E-2</v>
      </c>
      <c r="P7" s="272" t="str">
        <f t="shared" si="1"/>
        <v>Disminución de Participación</v>
      </c>
      <c r="Q7" s="273">
        <f>+O7-N7</f>
        <v>-1.2412206215614056E-2</v>
      </c>
      <c r="R7" s="270">
        <f>+'Empresas Regulares Nacionales'!H45/1000000</f>
        <v>-30477.407999999999</v>
      </c>
      <c r="S7" s="270">
        <f>+'Empresas Regulares Nacionales'!I45/1000000</f>
        <v>59505.197</v>
      </c>
      <c r="T7" s="270">
        <f>+S7-R7</f>
        <v>89982.604999999996</v>
      </c>
      <c r="U7" s="271">
        <f>+S7/R7-1</f>
        <v>-2.9524362767332448</v>
      </c>
      <c r="V7" s="271">
        <f t="shared" si="2"/>
        <v>2.4553265312055601E-2</v>
      </c>
      <c r="W7" s="271">
        <f t="shared" si="2"/>
        <v>0.24663829347142413</v>
      </c>
      <c r="X7" s="272" t="str">
        <f t="shared" si="3"/>
        <v>Aumento de Participación</v>
      </c>
      <c r="Y7" s="273">
        <f>+W7-V7</f>
        <v>0.22208502815936854</v>
      </c>
      <c r="Z7" s="270">
        <f>+'Empresas Regulares Nacionales'!H12/1000000</f>
        <v>809756.13699999999</v>
      </c>
      <c r="AA7" s="270">
        <f>+'Empresas Regulares Nacionales'!I12/1000000</f>
        <v>580888.02300000004</v>
      </c>
      <c r="AB7" s="270">
        <f t="shared" si="5"/>
        <v>-228868.11399999994</v>
      </c>
      <c r="AC7" s="271">
        <f t="shared" si="6"/>
        <v>-0.28263831978836851</v>
      </c>
      <c r="AD7" s="270">
        <f>+'Empresas Regulares Nacionales'!H16/1000000</f>
        <v>823199.68900000001</v>
      </c>
      <c r="AE7" s="270">
        <f>+'Empresas Regulares Nacionales'!I16/1000000</f>
        <v>543831.29799999995</v>
      </c>
      <c r="AF7" s="270">
        <f t="shared" si="7"/>
        <v>-279368.39100000006</v>
      </c>
      <c r="AG7" s="271">
        <f t="shared" si="8"/>
        <v>-0.33936892194331236</v>
      </c>
      <c r="AH7" s="270">
        <f>+'Empresas Regulares Nacionales'!H32/1000000</f>
        <v>-13443.552</v>
      </c>
      <c r="AI7" s="270">
        <f>+'Empresas Regulares Nacionales'!I32/1000000</f>
        <v>37056.724999999999</v>
      </c>
      <c r="AJ7" s="270">
        <f t="shared" si="9"/>
        <v>50500.277000000002</v>
      </c>
      <c r="AK7" s="271">
        <f t="shared" si="10"/>
        <v>-3.7564683054002392</v>
      </c>
      <c r="AL7" s="274">
        <f t="shared" si="11"/>
        <v>9.4587448984384537E-11</v>
      </c>
    </row>
    <row r="8" spans="1:38" x14ac:dyDescent="0.2">
      <c r="A8" s="269" t="s">
        <v>250</v>
      </c>
      <c r="B8" s="270">
        <f>+'Empresas Regulares Nacionales'!K37/1000000</f>
        <v>493702.641</v>
      </c>
      <c r="C8" s="270">
        <f>+'Empresas Regulares Nacionales'!L37/1000000</f>
        <v>531313.81700000004</v>
      </c>
      <c r="D8" s="270">
        <f t="shared" ref="D8:D9" si="12">+C8-B8</f>
        <v>37611.176000000036</v>
      </c>
      <c r="E8" s="271">
        <f t="shared" ref="E8:E9" si="13">+C8/B8-1</f>
        <v>7.6181840801617273E-2</v>
      </c>
      <c r="F8" s="271">
        <f t="shared" ref="F8:F9" si="14">+B8/$B$11</f>
        <v>3.3835685597682179E-2</v>
      </c>
      <c r="G8" s="271">
        <f t="shared" ref="G8:G9" si="15">+C8/$C$11</f>
        <v>2.9899729163427896E-2</v>
      </c>
      <c r="H8" s="272" t="str">
        <f t="shared" si="4"/>
        <v>Disminución de Participación</v>
      </c>
      <c r="I8" s="273">
        <f t="shared" ref="I8:I10" si="16">+G8-F8</f>
        <v>-3.9359564342542827E-3</v>
      </c>
      <c r="J8" s="270">
        <f>+'Empresas Regulares Nacionales'!K40/1000000</f>
        <v>30920.741000000002</v>
      </c>
      <c r="K8" s="270">
        <f>+'Empresas Regulares Nacionales'!L40/1000000</f>
        <v>83138.856</v>
      </c>
      <c r="L8" s="270">
        <f t="shared" ref="L8:L9" si="17">+K8-J8</f>
        <v>52218.114999999998</v>
      </c>
      <c r="M8" s="271">
        <f t="shared" ref="M8:M9" si="18">+K8/J8-1</f>
        <v>1.6887730795326021</v>
      </c>
      <c r="N8" s="271">
        <f t="shared" ref="N8:N9" si="19">+J8/J$11</f>
        <v>-4.5446206211419503E-2</v>
      </c>
      <c r="O8" s="271">
        <f t="shared" ref="O8:O9" si="20">+K8/K$11</f>
        <v>5.1105323343016942E-2</v>
      </c>
      <c r="P8" s="272" t="str">
        <f t="shared" ref="P8:P9" si="21">IF(O8&gt;N8,"Aumento de Participación","Disminución de Participación")</f>
        <v>Aumento de Participación</v>
      </c>
      <c r="Q8" s="273">
        <f t="shared" ref="Q8:Q9" si="22">+O8-N8</f>
        <v>9.6551529554436438E-2</v>
      </c>
      <c r="R8" s="270">
        <f>+'Empresas Regulares Nacionales'!K45/1000000</f>
        <v>3565.4270000000001</v>
      </c>
      <c r="S8" s="270">
        <f>+'Empresas Regulares Nacionales'!L45/1000000</f>
        <v>39138.383999999998</v>
      </c>
      <c r="T8" s="270">
        <f t="shared" ref="T8:T11" si="23">+S8-R8</f>
        <v>35572.956999999995</v>
      </c>
      <c r="U8" s="271">
        <f t="shared" ref="U8:U11" si="24">+S8/R8-1</f>
        <v>9.9771940359457645</v>
      </c>
      <c r="V8" s="271">
        <f t="shared" ref="V8:V9" si="25">+R8/R$11</f>
        <v>-2.8723858368062821E-3</v>
      </c>
      <c r="W8" s="271">
        <f t="shared" ref="W8:W9" si="26">+S8/S$11</f>
        <v>0.16222153233085324</v>
      </c>
      <c r="X8" s="272" t="str">
        <f t="shared" si="3"/>
        <v>Aumento de Participación</v>
      </c>
      <c r="Y8" s="273">
        <f t="shared" ref="Y8:Y10" si="27">+W8-V8</f>
        <v>0.1650939181676595</v>
      </c>
      <c r="Z8" s="270">
        <f>+'Empresas Regulares Nacionales'!K12/1000000</f>
        <v>693671.81900000002</v>
      </c>
      <c r="AA8" s="270">
        <f>+'Empresas Regulares Nacionales'!L12/1000000</f>
        <v>605832.33400000003</v>
      </c>
      <c r="AB8" s="270">
        <f t="shared" ref="AB8:AB9" si="28">+AA8-Z8</f>
        <v>-87839.484999999986</v>
      </c>
      <c r="AC8" s="271">
        <f t="shared" ref="AC8:AC9" si="29">+AA8/Z8-1</f>
        <v>-0.12662974420184714</v>
      </c>
      <c r="AD8" s="270">
        <f>+'Empresas Regulares Nacionales'!K16/1000000</f>
        <v>565641.08700000006</v>
      </c>
      <c r="AE8" s="270">
        <f>+'Empresas Regulares Nacionales'!L16/1000000</f>
        <v>488788.91800000001</v>
      </c>
      <c r="AF8" s="270">
        <f t="shared" ref="AF8:AF9" si="30">+AE8-AD8</f>
        <v>-76852.169000000053</v>
      </c>
      <c r="AG8" s="271">
        <f t="shared" ref="AG8:AG9" si="31">+AE8/AD8-1</f>
        <v>-0.13586737379280944</v>
      </c>
      <c r="AH8" s="270">
        <f>+'Empresas Regulares Nacionales'!K32/1000000</f>
        <v>128030.732</v>
      </c>
      <c r="AI8" s="270">
        <f>+'Empresas Regulares Nacionales'!L32/1000000</f>
        <v>117043.416</v>
      </c>
      <c r="AJ8" s="270">
        <f t="shared" ref="AJ8:AJ9" si="32">+AI8-AH8</f>
        <v>-10987.316000000006</v>
      </c>
      <c r="AK8" s="271">
        <f t="shared" ref="AK8:AK9" si="33">+AI8/AH8-1</f>
        <v>-8.581780193211741E-2</v>
      </c>
      <c r="AL8" s="274">
        <f t="shared" ref="AL8:AL9" si="34">+AA8-AE8-AI8</f>
        <v>0</v>
      </c>
    </row>
    <row r="9" spans="1:38" x14ac:dyDescent="0.2">
      <c r="A9" s="269" t="s">
        <v>251</v>
      </c>
      <c r="B9" s="270">
        <f>+'Empresas Regulares Nacionales'!N37/1000000</f>
        <v>270645</v>
      </c>
      <c r="C9" s="270">
        <f>+'Empresas Regulares Nacionales'!O37/1000000</f>
        <v>360684</v>
      </c>
      <c r="D9" s="270">
        <f t="shared" si="12"/>
        <v>90039</v>
      </c>
      <c r="E9" s="271">
        <f t="shared" si="13"/>
        <v>0.33268303497201135</v>
      </c>
      <c r="F9" s="271">
        <f t="shared" si="14"/>
        <v>1.8548531784306769E-2</v>
      </c>
      <c r="G9" s="271">
        <f t="shared" si="15"/>
        <v>2.0297522045397563E-2</v>
      </c>
      <c r="H9" s="272" t="str">
        <f t="shared" si="4"/>
        <v>Aumento de Participación</v>
      </c>
      <c r="I9" s="273">
        <f t="shared" si="16"/>
        <v>1.7489902610907937E-3</v>
      </c>
      <c r="J9" s="270">
        <f>+'Empresas Regulares Nacionales'!N40/1000000</f>
        <v>-69583</v>
      </c>
      <c r="K9" s="270">
        <f>+'Empresas Regulares Nacionales'!O40/1000000</f>
        <v>-71935</v>
      </c>
      <c r="L9" s="270">
        <f t="shared" si="17"/>
        <v>-2352</v>
      </c>
      <c r="M9" s="271">
        <f t="shared" si="18"/>
        <v>3.3801359527470876E-2</v>
      </c>
      <c r="N9" s="271">
        <f t="shared" si="19"/>
        <v>0.10227062044888262</v>
      </c>
      <c r="O9" s="271">
        <f t="shared" si="20"/>
        <v>-4.4218330772796827E-2</v>
      </c>
      <c r="P9" s="272" t="str">
        <f t="shared" si="21"/>
        <v>Disminución de Participación</v>
      </c>
      <c r="Q9" s="273">
        <f t="shared" si="22"/>
        <v>-0.14648895122167943</v>
      </c>
      <c r="R9" s="270">
        <f>+'Empresas Regulares Nacionales'!N45/1000000</f>
        <v>-2155</v>
      </c>
      <c r="S9" s="270">
        <f>+'Empresas Regulares Nacionales'!O45/1000000</f>
        <v>1080</v>
      </c>
      <c r="T9" s="270">
        <f t="shared" si="23"/>
        <v>3235</v>
      </c>
      <c r="U9" s="271">
        <f t="shared" si="24"/>
        <v>-1.5011600928074245</v>
      </c>
      <c r="V9" s="271">
        <f t="shared" si="25"/>
        <v>1.7361150511053902E-3</v>
      </c>
      <c r="W9" s="271">
        <f t="shared" si="26"/>
        <v>4.476404925592265E-3</v>
      </c>
      <c r="X9" s="272" t="str">
        <f t="shared" si="3"/>
        <v>Aumento de Participación</v>
      </c>
      <c r="Y9" s="273">
        <f t="shared" si="27"/>
        <v>2.7402898744868748E-3</v>
      </c>
      <c r="Z9" s="270">
        <f>+'Empresas Regulares Nacionales'!N12/1000000</f>
        <v>278581</v>
      </c>
      <c r="AA9" s="270">
        <f>+'Empresas Regulares Nacionales'!O12/1000000</f>
        <v>274762</v>
      </c>
      <c r="AB9" s="270">
        <f t="shared" si="28"/>
        <v>-3819</v>
      </c>
      <c r="AC9" s="271">
        <f t="shared" si="29"/>
        <v>-1.3708759750306054E-2</v>
      </c>
      <c r="AD9" s="270">
        <f>+'Empresas Regulares Nacionales'!N16/1000000</f>
        <v>270128</v>
      </c>
      <c r="AE9" s="270">
        <f>+'Empresas Regulares Nacionales'!O16/1000000</f>
        <v>260397</v>
      </c>
      <c r="AF9" s="270">
        <f t="shared" si="30"/>
        <v>-9731</v>
      </c>
      <c r="AG9" s="271">
        <f t="shared" si="31"/>
        <v>-3.6023662856127459E-2</v>
      </c>
      <c r="AH9" s="270">
        <f>+'Empresas Regulares Nacionales'!N32/1000000</f>
        <v>8453</v>
      </c>
      <c r="AI9" s="270">
        <f>+'Empresas Regulares Nacionales'!O32/1000000</f>
        <v>14365</v>
      </c>
      <c r="AJ9" s="270">
        <f t="shared" si="32"/>
        <v>5912</v>
      </c>
      <c r="AK9" s="271">
        <f t="shared" si="33"/>
        <v>0.69939666390630539</v>
      </c>
      <c r="AL9" s="274">
        <f t="shared" si="34"/>
        <v>0</v>
      </c>
    </row>
    <row r="10" spans="1:38" ht="25.5" x14ac:dyDescent="0.2">
      <c r="A10" s="275" t="s">
        <v>296</v>
      </c>
      <c r="B10" s="270">
        <f>+'Empresas Regulares Nacionales'!Q37/1000000</f>
        <v>195473.514</v>
      </c>
      <c r="C10" s="270">
        <f>+'Empresas Regulares Nacionales'!R37/1000000</f>
        <v>234698.864</v>
      </c>
      <c r="D10" s="270">
        <f t="shared" ref="D10" si="35">+C10-B10</f>
        <v>39225.350000000006</v>
      </c>
      <c r="E10" s="271">
        <f t="shared" ref="E10" si="36">+C10/B10-1</f>
        <v>0.20066836267137456</v>
      </c>
      <c r="F10" s="271">
        <f>+B10/$B$11</f>
        <v>1.3396688235212673E-2</v>
      </c>
      <c r="G10" s="271">
        <f t="shared" ref="G10" si="37">+C10/$C$11</f>
        <v>1.3207698057218409E-2</v>
      </c>
      <c r="H10" s="272" t="str">
        <f t="shared" si="4"/>
        <v>Disminución de Participación</v>
      </c>
      <c r="I10" s="273">
        <f t="shared" si="16"/>
        <v>-1.8899017799426342E-4</v>
      </c>
      <c r="J10" s="270">
        <f>+'Empresas Regulares Nacionales'!Q40/1000000</f>
        <v>12789.803</v>
      </c>
      <c r="K10" s="270">
        <f>+'Empresas Regulares Nacionales'!R40/1000000</f>
        <v>-15842.603999999999</v>
      </c>
      <c r="L10" s="270">
        <f t="shared" ref="L10:L11" si="38">+K10-J10</f>
        <v>-28632.406999999999</v>
      </c>
      <c r="M10" s="271">
        <f t="shared" ref="M10:M11" si="39">+K10/J10-1</f>
        <v>-2.2386902284577799</v>
      </c>
      <c r="N10" s="271">
        <f>+J10/J$11</f>
        <v>-1.8797997905077107E-2</v>
      </c>
      <c r="O10" s="271">
        <f>+K10/K$11</f>
        <v>-9.7384236320905548E-3</v>
      </c>
      <c r="P10" s="272" t="str">
        <f t="shared" si="1"/>
        <v>Aumento de Participación</v>
      </c>
      <c r="Q10" s="273">
        <f t="shared" ref="Q10" si="40">+O10-N10</f>
        <v>9.0595742729865526E-3</v>
      </c>
      <c r="R10" s="270">
        <f>+'Empresas Regulares Nacionales'!Q45/1000000</f>
        <v>11856.657999999999</v>
      </c>
      <c r="S10" s="270">
        <f>+'Empresas Regulares Nacionales'!R45/1000000</f>
        <v>-24493.09</v>
      </c>
      <c r="T10" s="270">
        <f t="shared" si="23"/>
        <v>-36349.748</v>
      </c>
      <c r="U10" s="271">
        <f t="shared" si="24"/>
        <v>-3.0657667615950466</v>
      </c>
      <c r="V10" s="271">
        <f>+R10/R$11</f>
        <v>-9.5519825566631692E-3</v>
      </c>
      <c r="W10" s="271">
        <f>+S10/S$11</f>
        <v>-0.1015194339990506</v>
      </c>
      <c r="X10" s="272" t="str">
        <f t="shared" si="3"/>
        <v>Disminución de Participación</v>
      </c>
      <c r="Y10" s="273">
        <f t="shared" si="27"/>
        <v>-9.1967451442387424E-2</v>
      </c>
      <c r="Z10" s="270">
        <f>+'Empresas Regulares Nacionales'!Q12/1000000</f>
        <v>82902.544999999998</v>
      </c>
      <c r="AA10" s="270">
        <f>+'Empresas Regulares Nacionales'!R12/1000000</f>
        <v>103396.266</v>
      </c>
      <c r="AB10" s="270">
        <f t="shared" si="5"/>
        <v>20493.721000000005</v>
      </c>
      <c r="AC10" s="271">
        <f t="shared" si="6"/>
        <v>0.24720255572371164</v>
      </c>
      <c r="AD10" s="270">
        <f>+'Empresas Regulares Nacionales'!Q16/1000000</f>
        <v>142361.53099999999</v>
      </c>
      <c r="AE10" s="270">
        <f>+'Empresas Regulares Nacionales'!R16/1000000</f>
        <v>173553.43700000001</v>
      </c>
      <c r="AF10" s="270">
        <f t="shared" si="7"/>
        <v>31191.906000000017</v>
      </c>
      <c r="AG10" s="271">
        <f t="shared" si="8"/>
        <v>0.21910347395744156</v>
      </c>
      <c r="AH10" s="270">
        <f>+'Empresas Regulares Nacionales'!Q32/1000</f>
        <v>-59458986</v>
      </c>
      <c r="AI10" s="270">
        <f>+'Empresas Regulares Nacionales'!R32/1000000</f>
        <v>-70157.171000000002</v>
      </c>
      <c r="AJ10" s="270">
        <f t="shared" si="9"/>
        <v>59388828.829000004</v>
      </c>
      <c r="AK10" s="271">
        <f t="shared" si="10"/>
        <v>-0.99882007454684818</v>
      </c>
      <c r="AL10" s="274">
        <f t="shared" si="11"/>
        <v>0</v>
      </c>
    </row>
    <row r="11" spans="1:38" s="265" customFormat="1" x14ac:dyDescent="0.2">
      <c r="A11" s="286" t="s">
        <v>33</v>
      </c>
      <c r="B11" s="287">
        <f>SUM(B5:B10)</f>
        <v>14591181.833000001</v>
      </c>
      <c r="C11" s="287">
        <f>SUM(C5:C10)</f>
        <v>17769853.837000001</v>
      </c>
      <c r="D11" s="287">
        <f t="shared" ref="D11" si="41">+C11-B11</f>
        <v>3178672.0040000007</v>
      </c>
      <c r="E11" s="288">
        <f t="shared" ref="E11" si="42">+C11/B11-1</f>
        <v>0.21784883776932928</v>
      </c>
      <c r="F11" s="289">
        <f>SUM(F5:F10)</f>
        <v>1</v>
      </c>
      <c r="G11" s="289">
        <f>SUM(G5:G10)</f>
        <v>1</v>
      </c>
      <c r="H11" s="286"/>
      <c r="I11" s="286"/>
      <c r="J11" s="287">
        <f>SUM(J5:J10)</f>
        <v>-680381.12699999998</v>
      </c>
      <c r="K11" s="287">
        <f>SUM(K5:K10)</f>
        <v>1626814.01</v>
      </c>
      <c r="L11" s="287">
        <f t="shared" si="38"/>
        <v>2307195.1370000001</v>
      </c>
      <c r="M11" s="288">
        <f t="shared" si="39"/>
        <v>-3.3910334155991366</v>
      </c>
      <c r="N11" s="289">
        <f>SUM(N5:N10)</f>
        <v>1</v>
      </c>
      <c r="O11" s="289">
        <f>SUM(O5:O10)</f>
        <v>1</v>
      </c>
      <c r="P11" s="286"/>
      <c r="Q11" s="286"/>
      <c r="R11" s="287">
        <f>SUM(R5:R10)</f>
        <v>-1241277.1830000002</v>
      </c>
      <c r="S11" s="287">
        <f>SUM(S5:S10)</f>
        <v>241265.03699999998</v>
      </c>
      <c r="T11" s="287">
        <f t="shared" si="23"/>
        <v>1482542.2200000002</v>
      </c>
      <c r="U11" s="288">
        <f t="shared" si="24"/>
        <v>-1.1943683814576329</v>
      </c>
      <c r="V11" s="289">
        <f>SUM(V5:V10)</f>
        <v>1</v>
      </c>
      <c r="W11" s="289">
        <f>SUM(W5:W10)</f>
        <v>1.0000000000000002</v>
      </c>
      <c r="X11" s="286"/>
      <c r="Y11" s="286"/>
      <c r="Z11" s="290">
        <f>SUM(Z5:Z10)</f>
        <v>20693464.561999999</v>
      </c>
      <c r="AA11" s="290">
        <f>SUM(AA5:AA10)</f>
        <v>21574178.900999997</v>
      </c>
      <c r="AB11" s="290">
        <f>SUM(AB5:AB10)</f>
        <v>880714.33899999841</v>
      </c>
      <c r="AC11" s="288">
        <f t="shared" si="6"/>
        <v>4.2560023545659798E-2</v>
      </c>
      <c r="AD11" s="287">
        <f t="shared" ref="AD11:AE11" si="43">SUM(AD5:AD10)</f>
        <v>22570224.075999998</v>
      </c>
      <c r="AE11" s="287">
        <f t="shared" si="43"/>
        <v>22559511.052999999</v>
      </c>
      <c r="AF11" s="287">
        <f>SUM(AF5:AF10)</f>
        <v>-10713.02300000051</v>
      </c>
      <c r="AG11" s="288">
        <f t="shared" si="8"/>
        <v>-4.7465293051252022E-4</v>
      </c>
      <c r="AH11" s="290">
        <f t="shared" ref="AH11" si="44">SUM(AH5:AH10)</f>
        <v>-61276286.527999997</v>
      </c>
      <c r="AI11" s="290">
        <f>SUM(AI5:AI10)</f>
        <v>-985332.152</v>
      </c>
      <c r="AJ11" s="290">
        <f>SUM(AJ5:AJ10)</f>
        <v>60290954.376000002</v>
      </c>
      <c r="AK11" s="288">
        <f t="shared" si="10"/>
        <v>-0.98391984554172096</v>
      </c>
      <c r="AL11" s="291">
        <f t="shared" si="11"/>
        <v>-2.5611370801925659E-9</v>
      </c>
    </row>
    <row r="12" spans="1:38" x14ac:dyDescent="0.2">
      <c r="B12" s="278"/>
      <c r="C12" s="278"/>
    </row>
  </sheetData>
  <sheetProtection algorithmName="SHA-512" hashValue="y+/yeDlv1GTtI51FP8bT+Y/Ja6MzzzwDgX7cMn6Qs/qykmvsQADJnHZ5+IGWi2eGN0I6ZQC1IOAVol47zABeOg==" saltValue="P3+ndnrYW5Vy2MwcAiO3iA==" spinCount="100000" sheet="1" objects="1" scenarios="1" selectLockedCells="1" selectUnlockedCell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975F756529D5344999D0D802AAD6C9A" ma:contentTypeVersion="4" ma:contentTypeDescription="Crear nuevo documento." ma:contentTypeScope="" ma:versionID="27459195d74885395f54a37c084c0f16">
  <xsd:schema xmlns:xsd="http://www.w3.org/2001/XMLSchema" xmlns:xs="http://www.w3.org/2001/XMLSchema" xmlns:p="http://schemas.microsoft.com/office/2006/metadata/properties" xmlns:ns2="7f46df1b-c851-4487-9672-e2321d678dfc" targetNamespace="http://schemas.microsoft.com/office/2006/metadata/properties" ma:root="true" ma:fieldsID="3ce1ee72f2a1815a326f16ab0e419b7c" ns2:_="">
    <xsd:import namespace="7f46df1b-c851-4487-9672-e2321d678dfc"/>
    <xsd:element name="properties">
      <xsd:complexType>
        <xsd:sequence>
          <xsd:element name="documentManagement">
            <xsd:complexType>
              <xsd:all>
                <xsd:element ref="ns2:Descripci_x00f3_n" minOccurs="0"/>
                <xsd:element ref="ns2:Filtro" minOccurs="0"/>
                <xsd:element ref="ns2:Formato" minOccurs="0"/>
                <xsd:element ref="ns2:Ord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46df1b-c851-4487-9672-e2321d678dfc" elementFormDefault="qualified">
    <xsd:import namespace="http://schemas.microsoft.com/office/2006/documentManagement/types"/>
    <xsd:import namespace="http://schemas.microsoft.com/office/infopath/2007/PartnerControls"/>
    <xsd:element name="Descripci_x00f3_n" ma:index="8" nillable="true" ma:displayName="Descripción" ma:internalName="Descripci_x00f3_n">
      <xsd:simpleType>
        <xsd:restriction base="dms:Text">
          <xsd:maxLength value="255"/>
        </xsd:restriction>
      </xsd:simpleType>
    </xsd:element>
    <xsd:element name="Filtro" ma:index="9" nillable="true" ma:displayName="Filtro" ma:internalName="Filtro">
      <xsd:simpleType>
        <xsd:restriction base="dms:Text">
          <xsd:maxLength value="255"/>
        </xsd:restriction>
      </xsd:simpleType>
    </xsd:element>
    <xsd:element name="Formato" ma:index="10"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Orden" ma:index="11" nillable="true" ma:displayName="Orden" ma:internalName="Orden">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Orden xmlns="7f46df1b-c851-4487-9672-e2321d678dfc">29</Orden>
    <Descripci_x00f3_n xmlns="7f46df1b-c851-4487-9672-e2321d678dfc" xsi:nil="true"/>
    <Formato xmlns="7f46df1b-c851-4487-9672-e2321d678dfc">/Style%20Library/Images/xls.svg</Formato>
    <Filtro xmlns="7f46df1b-c851-4487-9672-e2321d678dfc">ESTADOS</Filtro>
  </documentManagement>
</p:properties>
</file>

<file path=customXml/itemProps1.xml><?xml version="1.0" encoding="utf-8"?>
<ds:datastoreItem xmlns:ds="http://schemas.openxmlformats.org/officeDocument/2006/customXml" ds:itemID="{73FE5900-0443-423D-AD93-3A3122548822}">
  <ds:schemaRefs>
    <ds:schemaRef ds:uri="http://schemas.microsoft.com/sharepoint/v3/contenttype/forms"/>
  </ds:schemaRefs>
</ds:datastoreItem>
</file>

<file path=customXml/itemProps2.xml><?xml version="1.0" encoding="utf-8"?>
<ds:datastoreItem xmlns:ds="http://schemas.openxmlformats.org/officeDocument/2006/customXml" ds:itemID="{E37E35D6-78CD-446F-81B4-FA6FD23D5C54}">
  <ds:schemaRefs>
    <ds:schemaRef ds:uri="http://schemas.microsoft.com/office/2006/metadata/longProperties"/>
  </ds:schemaRefs>
</ds:datastoreItem>
</file>

<file path=customXml/itemProps3.xml><?xml version="1.0" encoding="utf-8"?>
<ds:datastoreItem xmlns:ds="http://schemas.openxmlformats.org/officeDocument/2006/customXml" ds:itemID="{987D4815-9D49-4302-AFAE-33237B216935}"/>
</file>

<file path=customXml/itemProps4.xml><?xml version="1.0" encoding="utf-8"?>
<ds:datastoreItem xmlns:ds="http://schemas.openxmlformats.org/officeDocument/2006/customXml" ds:itemID="{E83A976D-BA03-47A4-9973-54F62F82BC96}">
  <ds:schemaRefs>
    <ds:schemaRef ds:uri="http://schemas.microsoft.com/office/2006/documentManagement/types"/>
    <ds:schemaRef ds:uri="http://schemas.microsoft.com/office/infopath/2007/PartnerControls"/>
    <ds:schemaRef ds:uri="http://www.w3.org/XML/1998/namespace"/>
    <ds:schemaRef ds:uri="http://purl.org/dc/elements/1.1/"/>
    <ds:schemaRef ds:uri="http://schemas.openxmlformats.org/package/2006/metadata/core-properties"/>
    <ds:schemaRef ds:uri="97b501b7-a2e5-4bf1-b0a6-e4d35b8721e1"/>
    <ds:schemaRef ds:uri="http://schemas.microsoft.com/office/2006/metadata/properties"/>
    <ds:schemaRef ds:uri="fd853141-4775-44c6-a740-83d16fc3a96f"/>
    <ds:schemaRef ds:uri="http://purl.org/dc/dcmitype/"/>
    <ds:schemaRef ds:uri="http://purl.org/dc/terms/"/>
  </ds:schemaRefs>
</ds:datastoreItem>
</file>

<file path=docMetadata/LabelInfo.xml><?xml version="1.0" encoding="utf-8"?>
<clbl:labelList xmlns:clbl="http://schemas.microsoft.com/office/2020/mipLabelMetadata">
  <clbl:label id="{292755c0-f07b-4b91-bb6e-87338209cc96}" enabled="0" method="" siteId="{292755c0-f07b-4b91-bb6e-87338209cc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31</vt:i4>
      </vt:variant>
    </vt:vector>
  </HeadingPairs>
  <TitlesOfParts>
    <vt:vector size="54" baseType="lpstr">
      <vt:lpstr>INDICE</vt:lpstr>
      <vt:lpstr>1</vt:lpstr>
      <vt:lpstr>2</vt:lpstr>
      <vt:lpstr>3</vt:lpstr>
      <vt:lpstr>Boletin Financiero</vt:lpstr>
      <vt:lpstr>Menu Principal</vt:lpstr>
      <vt:lpstr>Instructivo y Glosario</vt:lpstr>
      <vt:lpstr>Base</vt:lpstr>
      <vt:lpstr>Graficos</vt:lpstr>
      <vt:lpstr>Empresas Regulares Nacionales</vt:lpstr>
      <vt:lpstr>Empresas Carga Nacional</vt:lpstr>
      <vt:lpstr>Empresas Regular Internacional</vt:lpstr>
      <vt:lpstr>Empresas Carga Internacional</vt:lpstr>
      <vt:lpstr>Empresas de Aerotaxis</vt:lpstr>
      <vt:lpstr>Empresas Especiales de Carga</vt:lpstr>
      <vt:lpstr>Empresas Trab. Aer. Especiales</vt:lpstr>
      <vt:lpstr>Empresas de Talleres</vt:lpstr>
      <vt:lpstr>Empresas de Handling</vt:lpstr>
      <vt:lpstr>Empresas Centros de Instrucción</vt:lpstr>
      <vt:lpstr>6</vt:lpstr>
      <vt:lpstr>7</vt:lpstr>
      <vt:lpstr>8</vt:lpstr>
      <vt:lpstr>9</vt:lpstr>
      <vt:lpstr>'2'!Área_de_impresión</vt:lpstr>
      <vt:lpstr>'3'!Área_de_impresión</vt:lpstr>
      <vt:lpstr>'8'!Área_de_impresión</vt:lpstr>
      <vt:lpstr>Base!Área_de_impresión</vt:lpstr>
      <vt:lpstr>'Empresas Carga Internacional'!Área_de_impresión</vt:lpstr>
      <vt:lpstr>'Empresas Carga Nacional'!Área_de_impresión</vt:lpstr>
      <vt:lpstr>'Empresas Centros de Instrucción'!Área_de_impresión</vt:lpstr>
      <vt:lpstr>'Empresas de Aerotaxis'!Área_de_impresión</vt:lpstr>
      <vt:lpstr>'Empresas de Handling'!Área_de_impresión</vt:lpstr>
      <vt:lpstr>'Empresas de Talleres'!Área_de_impresión</vt:lpstr>
      <vt:lpstr>'Empresas Especiales de Carga'!Área_de_impresión</vt:lpstr>
      <vt:lpstr>'Empresas Regular Internacional'!Área_de_impresión</vt:lpstr>
      <vt:lpstr>'Empresas Regulares Nacionales'!Área_de_impresión</vt:lpstr>
      <vt:lpstr>'Empresas Trab. Aer. Especiales'!Área_de_impresión</vt:lpstr>
      <vt:lpstr>'Instructivo y Glosario'!Área_de_impresión</vt:lpstr>
      <vt:lpstr>'1'!Títulos_a_imprimir</vt:lpstr>
      <vt:lpstr>'2'!Títulos_a_imprimir</vt:lpstr>
      <vt:lpstr>'3'!Títulos_a_imprimir</vt:lpstr>
      <vt:lpstr>'8'!Títulos_a_imprimir</vt:lpstr>
      <vt:lpstr>'9'!Títulos_a_imprimir</vt:lpstr>
      <vt:lpstr>Base!Títulos_a_imprimir</vt:lpstr>
      <vt:lpstr>'Empresas Carga Internacional'!Títulos_a_imprimir</vt:lpstr>
      <vt:lpstr>'Empresas Carga Nacional'!Títulos_a_imprimir</vt:lpstr>
      <vt:lpstr>'Empresas Centros de Instrucción'!Títulos_a_imprimir</vt:lpstr>
      <vt:lpstr>'Empresas de Aerotaxis'!Títulos_a_imprimir</vt:lpstr>
      <vt:lpstr>'Empresas de Handling'!Títulos_a_imprimir</vt:lpstr>
      <vt:lpstr>'Empresas de Talleres'!Títulos_a_imprimir</vt:lpstr>
      <vt:lpstr>'Empresas Especiales de Carga'!Títulos_a_imprimir</vt:lpstr>
      <vt:lpstr>'Empresas Regular Internacional'!Títulos_a_imprimir</vt:lpstr>
      <vt:lpstr>'Empresas Regulares Nacionales'!Títulos_a_imprimir</vt:lpstr>
      <vt:lpstr>'Empresas Trab. Aer. Especiales'!Títulos_a_imprimir</vt:lpstr>
    </vt:vector>
  </TitlesOfParts>
  <Manager/>
  <Company>PC Familiar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Estados Financieros Transporte Aéreo 30 Junio 2024</dc:title>
  <dc:subject/>
  <dc:creator>PC Familiar</dc:creator>
  <cp:keywords/>
  <dc:description/>
  <cp:lastModifiedBy>Juan David Dominguez Arrieta</cp:lastModifiedBy>
  <cp:revision/>
  <dcterms:created xsi:type="dcterms:W3CDTF">2000-07-06T11:08:14Z</dcterms:created>
  <dcterms:modified xsi:type="dcterms:W3CDTF">2024-09-27T19:24:07Z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0x0101009975F756529D5344999D0D802AAD6C9A</vt:lpwstr>
  </property>
</Properties>
</file>